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6885" activeTab="9"/>
  </bookViews>
  <sheets>
    <sheet name="L1" sheetId="1" r:id="rId1"/>
    <sheet name="L2" sheetId="2" r:id="rId2"/>
    <sheet name="L3" sheetId="3" r:id="rId3"/>
    <sheet name="L4" sheetId="4" r:id="rId4"/>
    <sheet name="L5" sheetId="5" r:id="rId5"/>
    <sheet name="L6" sheetId="6" r:id="rId6"/>
    <sheet name="L7" sheetId="7" r:id="rId7"/>
    <sheet name="L10" sheetId="8" r:id="rId8"/>
    <sheet name="L11" sheetId="9" r:id="rId9"/>
    <sheet name="L37FPI" sheetId="10" r:id="rId10"/>
    <sheet name="L37Lives" sheetId="11" r:id="rId11"/>
    <sheet name="L38 FPI" sheetId="12" r:id="rId12"/>
    <sheet name="L38 NOP" sheetId="13" r:id="rId13"/>
  </sheets>
  <definedNames/>
  <calcPr fullCalcOnLoad="1"/>
</workbook>
</file>

<file path=xl/sharedStrings.xml><?xml version="1.0" encoding="utf-8"?>
<sst xmlns="http://schemas.openxmlformats.org/spreadsheetml/2006/main" count="1323" uniqueCount="341">
  <si>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</si>
  <si>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</si>
  <si>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</si>
  <si>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</si>
  <si>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</si>
  <si>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</si>
  <si>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</si>
  <si>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</si>
  <si>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</si>
  <si>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</si>
  <si>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</si>
  <si>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</si>
  <si>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</si>
  <si>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</si>
  <si>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</si>
  <si>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</si>
  <si>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</si>
  <si>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</si>
  <si>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</si>
  <si>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</si>
  <si>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</si>
  <si>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</si>
  <si>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</si>
  <si>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</si>
  <si>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</si>
  <si>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</si>
  <si>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</si>
  <si>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</si>
  <si>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</si>
  <si>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</si>
  <si>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</si>
  <si>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</si>
  <si>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</si>
  <si>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</si>
  <si>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</si>
  <si>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</si>
  <si>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</si>
  <si>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</si>
  <si>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</si>
  <si>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</si>
  <si>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</si>
  <si>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</si>
  <si>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</si>
  <si>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</si>
  <si>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</si>
  <si>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</si>
  <si>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</si>
  <si>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</si>
  <si>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</si>
  <si>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</si>
  <si>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</si>
  <si>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</si>
  <si>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</si>
  <si>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</si>
  <si>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</si>
  <si>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</si>
  <si>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</si>
  <si>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</si>
  <si>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</si>
  <si>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(in 000)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</si>
  <si>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</si>
  <si>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</si>
  <si>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</si>
  <si>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</si>
  <si>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</si>
  <si>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</si>
  <si>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</si>
  <si>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</si>
  <si>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</si>
  <si>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</si>
  <si>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</si>
  <si>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</si>
  <si>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</si>
  <si>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</si>
  <si>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</si>
  <si>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</si>
  <si>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</si>
  <si>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</si>
  <si>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</si>
  <si>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</si>
  <si>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</si>
  <si>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</si>
  <si>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</si>
  <si>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</si>
  <si>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</si>
  <si>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</si>
  <si>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</si>
  <si>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</si>
  <si>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</si>
  <si>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</si>
  <si>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</si>
  <si>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</si>
  <si>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</si>
  <si>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</si>
  <si>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</si>
  <si>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</si>
  <si>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</si>
  <si>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</si>
  <si>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</si>
  <si>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</si>
  <si>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</si>
  <si>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</si>
  <si>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</si>
  <si>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</si>
  <si>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</si>
  <si>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</si>
  <si>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</si>
  <si>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</si>
  <si>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t>Basic</t>
  </si>
  <si>
    <t>Diluted</t>
  </si>
  <si>
    <t>L2:PROFIT &amp; LOSS ACCOUNT</t>
  </si>
  <si>
    <t>Figures in '000'</t>
  </si>
  <si>
    <t>L5:COMMISSION SCHEDULE</t>
  </si>
  <si>
    <t>L7:BENEFITS PAID SCHEDULE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</si>
  <si>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</si>
  <si>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</si>
  <si>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</si>
  <si>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</si>
  <si>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</si>
  <si>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</si>
  <si>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</si>
  <si>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</si>
  <si>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</si>
  <si>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</si>
  <si>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</si>
  <si>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</si>
  <si>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</si>
  <si>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</si>
  <si>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</si>
  <si>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</si>
  <si>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</si>
  <si>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</si>
  <si>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</si>
  <si>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</si>
  <si>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</si>
  <si>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</si>
  <si>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</si>
  <si>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</si>
  <si>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 xml:space="preserve">Edelweiss Tokio Life Insurance Company Limited </t>
  </si>
  <si>
    <t>online</t>
  </si>
  <si>
    <t>(c) Others-Provision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</si>
  <si>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</si>
  <si>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</si>
  <si>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</si>
  <si>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</si>
  <si>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</si>
  <si>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</si>
  <si>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</si>
  <si>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</si>
  <si>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</si>
  <si>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</si>
  <si>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</si>
  <si>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</si>
  <si>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</si>
  <si>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</si>
  <si>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</si>
  <si>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</si>
  <si>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</si>
  <si>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</si>
  <si>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</si>
  <si>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</si>
  <si>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</si>
  <si>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</si>
  <si>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</si>
  <si>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</si>
  <si>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</si>
  <si>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</si>
  <si>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</si>
  <si>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</si>
  <si>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</si>
  <si>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</si>
  <si>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</si>
  <si>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</si>
  <si>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</si>
  <si>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</si>
  <si>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</si>
  <si>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</si>
  <si>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</si>
  <si>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</si>
  <si>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</si>
  <si>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</si>
  <si>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</si>
  <si>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</si>
  <si>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</si>
  <si>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</si>
  <si>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</si>
  <si>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</si>
  <si>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</si>
  <si>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</si>
  <si>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</si>
  <si>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</si>
  <si>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</si>
  <si>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</si>
  <si>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</si>
  <si>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</si>
  <si>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</si>
  <si>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</si>
  <si>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</si>
  <si>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</si>
  <si>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</si>
  <si>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Form L-10-Reserves and Surplus Schedule(Amount in '000)</t>
  </si>
  <si>
    <t>Form L-11 -Borrowings Schedule  (Amount in '000)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</si>
  <si>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</si>
  <si>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</si>
  <si>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</si>
  <si>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L1:REVENUE ACCOUNT Figures in '000'</t>
  </si>
  <si>
    <t>(g) Appreciation in unclaimed balances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</si>
  <si>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</si>
  <si>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</si>
  <si>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</si>
  <si>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</si>
  <si>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</si>
  <si>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 xml:space="preserve">PNB MetLife India Insurance Company Limited </t>
  </si>
  <si>
    <t>Current Tax (Credit)/Charge</t>
  </si>
  <si>
    <t>Provision for current tax</t>
  </si>
  <si>
    <t>Total (E)</t>
  </si>
  <si>
    <t>(c)Others</t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</si>
  <si>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(B)</t>
    </r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</si>
  <si>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(A)</t>
    </r>
  </si>
  <si>
    <t>Sahara India Life Insurance Company Limited (Total 2018-19 &amp; 2017-18)</t>
  </si>
  <si>
    <t>(h) Non Linked</t>
  </si>
  <si>
    <t>€ Transfer/Gain on revaluation/change in fair value</t>
  </si>
  <si>
    <t>For Q3 1920</t>
  </si>
  <si>
    <t>Upto Q3 1920</t>
  </si>
  <si>
    <t>Reward/Remuneration to Agent,brokers &amp; other intermediaries</t>
  </si>
  <si>
    <t>Total Commission</t>
  </si>
  <si>
    <t>Pramerica Life Insurance Company Limited</t>
  </si>
  <si>
    <t>Linked</t>
  </si>
  <si>
    <t>For Q3 2021</t>
  </si>
  <si>
    <t>Upto Q3 2021</t>
  </si>
  <si>
    <t>For Q3 202021</t>
  </si>
  <si>
    <t>Upto Q3 202021</t>
  </si>
  <si>
    <t>AS at 31.12.2020</t>
  </si>
  <si>
    <t xml:space="preserve">Others </t>
  </si>
  <si>
    <t>Ageas Federal Life Insurance Company Limited</t>
  </si>
  <si>
    <t>Aegas Federal Life Insurance Company Limited</t>
  </si>
  <si>
    <t>L6:Operating Expenses Schedule Related to Insurance Business</t>
  </si>
  <si>
    <t>(Amount in '000)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</si>
  <si>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</si>
  <si>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</si>
  <si>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</si>
  <si>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</si>
  <si>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</si>
  <si>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</si>
  <si>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</si>
  <si>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</si>
  <si>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</si>
  <si>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</si>
  <si>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</si>
  <si>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</si>
  <si>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</si>
  <si>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</si>
  <si>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</si>
  <si>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</si>
  <si>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</si>
  <si>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</si>
  <si>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</si>
  <si>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</si>
  <si>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</si>
  <si>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</si>
  <si>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</si>
  <si>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</si>
  <si>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</si>
  <si>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</si>
  <si>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</si>
  <si>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</si>
  <si>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</si>
  <si>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</si>
  <si>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</si>
  <si>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</si>
  <si>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</si>
  <si>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</si>
  <si>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t>L3-Balance Sheet</t>
  </si>
  <si>
    <t xml:space="preserve">Aegon Life Insurance Company Limited </t>
  </si>
  <si>
    <t xml:space="preserve">Bharti AXA Life Insurance Private Limited </t>
  </si>
  <si>
    <t xml:space="preserve">Exide life Insurance Company Limited </t>
  </si>
  <si>
    <t xml:space="preserve">Future Generali India Life Insurance Company Limited </t>
  </si>
  <si>
    <t xml:space="preserve">HDFC Life Insurance Company Limited </t>
  </si>
  <si>
    <t xml:space="preserve">ICICI Prudential Life Insurance Company Limited </t>
  </si>
  <si>
    <t xml:space="preserve">Star Union Dai-ichi Life Insurance Company Limited </t>
  </si>
  <si>
    <t>SOURCES OF FUNDS</t>
  </si>
  <si>
    <t>Shareholders' Funds</t>
  </si>
  <si>
    <r>
      <t xml:space="preserve">Share Capital </t>
    </r>
    <r>
      <rPr>
        <b/>
        <sz val="9"/>
        <color indexed="8"/>
        <rFont val="Comic Sans MS"/>
        <family val="4"/>
      </rPr>
      <t>L8</t>
    </r>
  </si>
  <si>
    <t>Share Application Money pending Allotment</t>
  </si>
  <si>
    <r>
      <t>Reserves And Surplus</t>
    </r>
    <r>
      <rPr>
        <b/>
        <sz val="9"/>
        <color indexed="8"/>
        <rFont val="Comic Sans MS"/>
        <family val="4"/>
      </rPr>
      <t xml:space="preserve"> L10</t>
    </r>
  </si>
  <si>
    <t>Credit/(Debit) Fair Value Change Account (Net)</t>
  </si>
  <si>
    <t>Deffered Tax Liability</t>
  </si>
  <si>
    <t>Sub-Total</t>
  </si>
  <si>
    <r>
      <t xml:space="preserve">Borrowings </t>
    </r>
    <r>
      <rPr>
        <b/>
        <sz val="9"/>
        <color indexed="8"/>
        <rFont val="Comic Sans MS"/>
        <family val="4"/>
      </rPr>
      <t>L11</t>
    </r>
  </si>
  <si>
    <t>Policyholders' Funds:</t>
  </si>
  <si>
    <t>Revaluation Reserve-Investment Property</t>
  </si>
  <si>
    <t>Policy Liabilities</t>
  </si>
  <si>
    <t>Surplus on Policy Holder's  A/c</t>
  </si>
  <si>
    <t>Non Linked</t>
  </si>
  <si>
    <t>Insurance Reserves</t>
  </si>
  <si>
    <t>Linked Liabilities</t>
  </si>
  <si>
    <t>Fair value change</t>
  </si>
  <si>
    <t>Provision For Linked Liabilities</t>
  </si>
  <si>
    <t>Credit/(Debit) Fair Value Change A/c (Linked)Change Account (Net)</t>
  </si>
  <si>
    <t>Non Linked Liabilities</t>
  </si>
  <si>
    <t>Funds for Discontinued Policies</t>
  </si>
  <si>
    <t xml:space="preserve">   Discontinued on account of non-payment of premium</t>
  </si>
  <si>
    <t xml:space="preserve">   Others</t>
  </si>
  <si>
    <t>Credit/(Debit) Fair Value Change Account (Linked)</t>
  </si>
  <si>
    <t>Total Linked Liabilities</t>
  </si>
  <si>
    <t>Funds For Future Appropriations</t>
  </si>
  <si>
    <t>TOTAL</t>
  </si>
  <si>
    <t>APPLICATION OF FUNDS</t>
  </si>
  <si>
    <t>Investments</t>
  </si>
  <si>
    <r>
      <t xml:space="preserve">Shareholders' </t>
    </r>
    <r>
      <rPr>
        <b/>
        <sz val="9"/>
        <color indexed="8"/>
        <rFont val="Comic Sans MS"/>
        <family val="4"/>
      </rPr>
      <t xml:space="preserve"> L12</t>
    </r>
  </si>
  <si>
    <r>
      <t xml:space="preserve">Policyholders'  </t>
    </r>
    <r>
      <rPr>
        <b/>
        <sz val="9"/>
        <color indexed="8"/>
        <rFont val="Comic Sans MS"/>
        <family val="4"/>
      </rPr>
      <t>L13</t>
    </r>
  </si>
  <si>
    <r>
      <t xml:space="preserve">Assets Held To Cover Linked Liabilities </t>
    </r>
    <r>
      <rPr>
        <b/>
        <sz val="9"/>
        <color indexed="8"/>
        <rFont val="Comic Sans MS"/>
        <family val="4"/>
      </rPr>
      <t>L14</t>
    </r>
  </si>
  <si>
    <r>
      <t>Loans</t>
    </r>
    <r>
      <rPr>
        <b/>
        <sz val="9"/>
        <color indexed="8"/>
        <rFont val="Comic Sans MS"/>
        <family val="4"/>
      </rPr>
      <t xml:space="preserve"> L15</t>
    </r>
  </si>
  <si>
    <r>
      <t xml:space="preserve">Fixed Assets </t>
    </r>
    <r>
      <rPr>
        <b/>
        <sz val="9"/>
        <color indexed="8"/>
        <rFont val="Comic Sans MS"/>
        <family val="4"/>
      </rPr>
      <t>L 16</t>
    </r>
  </si>
  <si>
    <t>Current Assets</t>
  </si>
  <si>
    <t>Deferred Tax Assets</t>
  </si>
  <si>
    <r>
      <t xml:space="preserve">Cash and Bank Balances </t>
    </r>
    <r>
      <rPr>
        <b/>
        <sz val="9"/>
        <color indexed="8"/>
        <rFont val="Comic Sans MS"/>
        <family val="4"/>
      </rPr>
      <t>L17</t>
    </r>
  </si>
  <si>
    <t>Advances And Other Assets L18</t>
  </si>
  <si>
    <t>Sub-Total (A)</t>
  </si>
  <si>
    <r>
      <t xml:space="preserve">Current Liabilities </t>
    </r>
    <r>
      <rPr>
        <b/>
        <sz val="9"/>
        <color indexed="8"/>
        <rFont val="Comic Sans MS"/>
        <family val="4"/>
      </rPr>
      <t>L19</t>
    </r>
  </si>
  <si>
    <r>
      <t xml:space="preserve">Provisions </t>
    </r>
    <r>
      <rPr>
        <b/>
        <sz val="9"/>
        <color indexed="8"/>
        <rFont val="Comic Sans MS"/>
        <family val="4"/>
      </rPr>
      <t>L20</t>
    </r>
  </si>
  <si>
    <t>Sub-Total (B)</t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</si>
  <si>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</si>
  <si>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</si>
  <si>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</si>
  <si>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</si>
  <si>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</si>
  <si>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</si>
  <si>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</si>
  <si>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</si>
  <si>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</si>
  <si>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</si>
  <si>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 xml:space="preserve">Statutory demands/ liabilities in dispute, not provided for </t>
  </si>
  <si>
    <t>Reinsurance obligations to the extent not provided for in accounts</t>
  </si>
  <si>
    <t>In relation to Claims against policies</t>
  </si>
  <si>
    <t xml:space="preserve"> Pramerica Life Insurance Company Limited</t>
  </si>
  <si>
    <t>Audited as at 31st Dec 2019</t>
  </si>
  <si>
    <t>Audited as at 31st Dec 2020</t>
  </si>
  <si>
    <t xml:space="preserve">Aegas Federal Life Insurance Company Limited </t>
  </si>
  <si>
    <t>Upto Q3 201920</t>
  </si>
  <si>
    <t>(Face Value per share)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</si>
</sst>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9"/>
      <color indexed="30"/>
      <name val="Comic Sans MS"/>
      <family val="4"/>
    </font>
    <font>
      <sz val="9"/>
      <color indexed="30"/>
      <name val="Comic Sans MS"/>
      <family val="4"/>
    </font>
    <font>
      <b/>
      <sz val="9"/>
      <color indexed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i/>
      <sz val="9"/>
      <color indexed="8"/>
      <name val="Comic Sans MS"/>
      <family val="4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10"/>
      <color indexed="8"/>
      <name val="Comic Sans MS"/>
      <family val="4"/>
    </font>
    <font>
      <b/>
      <sz val="8"/>
      <color indexed="8"/>
      <name val="Comic Sans MS"/>
      <family val="4"/>
    </font>
    <font>
      <b/>
      <sz val="9"/>
      <color indexed="49"/>
      <name val="Comic Sans MS"/>
      <family val="4"/>
    </font>
    <font>
      <sz val="9"/>
      <color indexed="49"/>
      <name val="Comic Sans MS"/>
      <family val="4"/>
    </font>
    <font>
      <b/>
      <sz val="8"/>
      <color indexed="49"/>
      <name val="Comic Sans MS"/>
      <family val="4"/>
    </font>
    <font>
      <sz val="11"/>
      <color indexed="49"/>
      <name val="Comic Sans MS"/>
      <family val="4"/>
    </font>
    <font>
      <b/>
      <sz val="10"/>
      <color indexed="49"/>
      <name val="Comic Sans MS"/>
      <family val="4"/>
    </font>
    <font>
      <b/>
      <sz val="11"/>
      <color indexed="49"/>
      <name val="Comic Sans MS"/>
      <family val="4"/>
    </font>
    <font>
      <sz val="9"/>
      <color indexed="62"/>
      <name val="Comic Sans MS"/>
      <family val="4"/>
    </font>
    <font>
      <b/>
      <sz val="9"/>
      <color indexed="62"/>
      <name val="Comic Sans MS"/>
      <family val="4"/>
    </font>
    <font>
      <sz val="11"/>
      <color indexed="62"/>
      <name val="Comic Sans MS"/>
      <family val="4"/>
    </font>
    <font>
      <b/>
      <sz val="8"/>
      <color indexed="62"/>
      <name val="Comic Sans MS"/>
      <family val="4"/>
    </font>
    <font>
      <sz val="8"/>
      <color indexed="62"/>
      <name val="Comic Sans MS"/>
      <family val="4"/>
    </font>
    <font>
      <b/>
      <sz val="10"/>
      <color indexed="62"/>
      <name val="Comic Sans MS"/>
      <family val="4"/>
    </font>
    <font>
      <b/>
      <sz val="8"/>
      <color indexed="30"/>
      <name val="Comic Sans MS"/>
      <family val="4"/>
    </font>
    <font>
      <b/>
      <sz val="11"/>
      <color indexed="30"/>
      <name val="Comic Sans MS"/>
      <family val="4"/>
    </font>
    <font>
      <b/>
      <sz val="10"/>
      <color indexed="30"/>
      <name val="Comic Sans MS"/>
      <family val="4"/>
    </font>
    <font>
      <b/>
      <sz val="9"/>
      <color indexed="10"/>
      <name val="Comic Sans MS"/>
      <family val="4"/>
    </font>
    <font>
      <sz val="8"/>
      <color indexed="10"/>
      <name val="Comic Sans MS"/>
      <family val="4"/>
    </font>
    <font>
      <b/>
      <sz val="11"/>
      <color indexed="62"/>
      <name val="Comic Sans MS"/>
      <family val="4"/>
    </font>
    <font>
      <b/>
      <sz val="11"/>
      <color indexed="8"/>
      <name val="Comic Sans MS"/>
      <family val="4"/>
    </font>
    <font>
      <b/>
      <i/>
      <sz val="9"/>
      <color indexed="62"/>
      <name val="Comic Sans MS"/>
      <family val="4"/>
    </font>
    <font>
      <b/>
      <sz val="10"/>
      <color indexed="8"/>
      <name val="Arial"/>
      <family val="2"/>
    </font>
    <font>
      <sz val="11"/>
      <color indexed="10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i/>
      <sz val="9"/>
      <color theme="1"/>
      <name val="Comic Sans MS"/>
      <family val="4"/>
    </font>
    <font>
      <sz val="9"/>
      <color rgb="FF000000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8"/>
      <color rgb="FF000000"/>
      <name val="Comic Sans MS"/>
      <family val="4"/>
    </font>
    <font>
      <b/>
      <sz val="10"/>
      <color theme="1"/>
      <name val="Comic Sans MS"/>
      <family val="4"/>
    </font>
    <font>
      <b/>
      <sz val="9"/>
      <color rgb="FF000000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b/>
      <sz val="10"/>
      <color rgb="FF000000"/>
      <name val="Comic Sans MS"/>
      <family val="4"/>
    </font>
    <font>
      <sz val="9"/>
      <color theme="8"/>
      <name val="Comic Sans MS"/>
      <family val="4"/>
    </font>
    <font>
      <b/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</font>
    <font>
      <b/>
      <sz val="8"/>
      <color theme="8"/>
      <name val="Comic Sans MS"/>
      <family val="4"/>
    </font>
    <font>
      <sz val="8"/>
      <color theme="8"/>
      <name val="Comic Sans MS"/>
      <family val="4"/>
    </font>
    <font>
      <b/>
      <sz val="10"/>
      <color theme="8"/>
      <name val="Comic Sans MS"/>
      <family val="4"/>
    </font>
    <font>
      <b/>
      <sz val="9"/>
      <color rgb="FF0070C0"/>
      <name val="Comic Sans MS"/>
      <family val="4"/>
    </font>
    <font>
      <sz val="9"/>
      <color rgb="FF0070C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9"/>
      <color rgb="FFFF0000"/>
      <name val="Comic Sans MS"/>
      <family val="4"/>
    </font>
    <font>
      <sz val="8"/>
      <color rgb="FFFF0000"/>
      <name val="Comic Sans MS"/>
      <family val="4"/>
    </font>
    <font>
      <sz val="10"/>
      <color rgb="FF000000"/>
      <name val="Comic Sans MS"/>
      <family val="4"/>
    </font>
    <font>
      <b/>
      <sz val="11"/>
      <color theme="8"/>
      <name val="Comic Sans MS"/>
      <family val="4"/>
    </font>
    <font>
      <sz val="11"/>
      <color rgb="FFFF0000"/>
      <name val="Comic Sans MS"/>
      <family val="4"/>
    </font>
    <font>
      <b/>
      <sz val="11"/>
      <color theme="1"/>
      <name val="Comic Sans MS"/>
      <family val="4"/>
    </font>
    <font>
      <b/>
      <i/>
      <sz val="9"/>
      <color theme="8"/>
      <name val="Comic Sans MS"/>
      <family val="4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103">
    <xf numFmtId="0" fontId="0" fillId="0" borderId="0" xfId="0" applyFont="1" applyAlignment="1">
      <alignment/>
    </xf>
    <xf numFmtId="2" fontId="77" fillId="0" borderId="10" xfId="0" applyNumberFormat="1" applyFont="1" applyBorder="1" applyAlignment="1">
      <alignment horizontal="left"/>
    </xf>
    <xf numFmtId="2" fontId="77" fillId="0" borderId="11" xfId="0" applyNumberFormat="1" applyFont="1" applyBorder="1" applyAlignment="1">
      <alignment horizontal="left"/>
    </xf>
    <xf numFmtId="2" fontId="78" fillId="0" borderId="10" xfId="0" applyNumberFormat="1" applyFont="1" applyBorder="1" applyAlignment="1">
      <alignment horizontal="left"/>
    </xf>
    <xf numFmtId="2" fontId="78" fillId="0" borderId="11" xfId="0" applyNumberFormat="1" applyFont="1" applyBorder="1" applyAlignment="1">
      <alignment horizontal="left"/>
    </xf>
    <xf numFmtId="2" fontId="78" fillId="0" borderId="12" xfId="0" applyNumberFormat="1" applyFont="1" applyBorder="1" applyAlignment="1">
      <alignment horizontal="left"/>
    </xf>
    <xf numFmtId="0" fontId="77" fillId="0" borderId="0" xfId="0" applyFont="1" applyAlignment="1">
      <alignment horizontal="left"/>
    </xf>
    <xf numFmtId="1" fontId="77" fillId="0" borderId="11" xfId="0" applyNumberFormat="1" applyFont="1" applyBorder="1" applyAlignment="1">
      <alignment horizontal="left" vertical="center"/>
    </xf>
    <xf numFmtId="1" fontId="78" fillId="0" borderId="10" xfId="0" applyNumberFormat="1" applyFont="1" applyBorder="1" applyAlignment="1">
      <alignment horizontal="left" vertical="center"/>
    </xf>
    <xf numFmtId="1" fontId="78" fillId="0" borderId="13" xfId="0" applyNumberFormat="1" applyFont="1" applyBorder="1" applyAlignment="1">
      <alignment horizontal="left" vertical="center"/>
    </xf>
    <xf numFmtId="1" fontId="77" fillId="0" borderId="11" xfId="0" applyNumberFormat="1" applyFont="1" applyBorder="1" applyAlignment="1">
      <alignment horizontal="left"/>
    </xf>
    <xf numFmtId="1" fontId="77" fillId="0" borderId="10" xfId="0" applyNumberFormat="1" applyFont="1" applyBorder="1" applyAlignment="1">
      <alignment horizontal="left"/>
    </xf>
    <xf numFmtId="2" fontId="77" fillId="0" borderId="13" xfId="0" applyNumberFormat="1" applyFont="1" applyBorder="1" applyAlignment="1">
      <alignment horizontal="left"/>
    </xf>
    <xf numFmtId="1" fontId="77" fillId="0" borderId="13" xfId="0" applyNumberFormat="1" applyFont="1" applyBorder="1" applyAlignment="1">
      <alignment horizontal="left"/>
    </xf>
    <xf numFmtId="1" fontId="77" fillId="0" borderId="12" xfId="0" applyNumberFormat="1" applyFont="1" applyBorder="1" applyAlignment="1">
      <alignment horizontal="left"/>
    </xf>
    <xf numFmtId="1" fontId="77" fillId="0" borderId="13" xfId="42" applyNumberFormat="1" applyFont="1" applyBorder="1" applyAlignment="1">
      <alignment horizontal="left"/>
    </xf>
    <xf numFmtId="1" fontId="77" fillId="0" borderId="11" xfId="42" applyNumberFormat="1" applyFont="1" applyBorder="1" applyAlignment="1">
      <alignment horizontal="left"/>
    </xf>
    <xf numFmtId="1" fontId="78" fillId="0" borderId="11" xfId="0" applyNumberFormat="1" applyFont="1" applyBorder="1" applyAlignment="1">
      <alignment horizontal="left"/>
    </xf>
    <xf numFmtId="1" fontId="78" fillId="0" borderId="10" xfId="0" applyNumberFormat="1" applyFont="1" applyBorder="1" applyAlignment="1">
      <alignment horizontal="left"/>
    </xf>
    <xf numFmtId="2" fontId="78" fillId="0" borderId="13" xfId="0" applyNumberFormat="1" applyFont="1" applyBorder="1" applyAlignment="1">
      <alignment horizontal="left"/>
    </xf>
    <xf numFmtId="1" fontId="78" fillId="0" borderId="13" xfId="0" applyNumberFormat="1" applyFont="1" applyBorder="1" applyAlignment="1">
      <alignment horizontal="left"/>
    </xf>
    <xf numFmtId="1" fontId="77" fillId="0" borderId="0" xfId="0" applyNumberFormat="1" applyFont="1" applyAlignment="1">
      <alignment horizontal="left"/>
    </xf>
    <xf numFmtId="2" fontId="77" fillId="0" borderId="14" xfId="0" applyNumberFormat="1" applyFont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80" fillId="0" borderId="15" xfId="0" applyFont="1" applyBorder="1" applyAlignment="1">
      <alignment horizontal="left"/>
    </xf>
    <xf numFmtId="1" fontId="77" fillId="0" borderId="16" xfId="0" applyNumberFormat="1" applyFont="1" applyBorder="1" applyAlignment="1">
      <alignment horizontal="left" vertical="center"/>
    </xf>
    <xf numFmtId="1" fontId="77" fillId="0" borderId="14" xfId="0" applyNumberFormat="1" applyFont="1" applyBorder="1" applyAlignment="1">
      <alignment horizontal="left" vertical="center"/>
    </xf>
    <xf numFmtId="1" fontId="77" fillId="0" borderId="17" xfId="0" applyNumberFormat="1" applyFont="1" applyBorder="1" applyAlignment="1">
      <alignment horizontal="left"/>
    </xf>
    <xf numFmtId="1" fontId="77" fillId="0" borderId="14" xfId="0" applyNumberFormat="1" applyFont="1" applyBorder="1" applyAlignment="1">
      <alignment horizontal="left"/>
    </xf>
    <xf numFmtId="1" fontId="77" fillId="0" borderId="18" xfId="0" applyNumberFormat="1" applyFont="1" applyBorder="1" applyAlignment="1">
      <alignment horizontal="left"/>
    </xf>
    <xf numFmtId="1" fontId="77" fillId="0" borderId="16" xfId="0" applyNumberFormat="1" applyFont="1" applyBorder="1" applyAlignment="1">
      <alignment horizontal="left"/>
    </xf>
    <xf numFmtId="2" fontId="77" fillId="0" borderId="17" xfId="0" applyNumberFormat="1" applyFont="1" applyBorder="1" applyAlignment="1">
      <alignment horizontal="left"/>
    </xf>
    <xf numFmtId="2" fontId="77" fillId="0" borderId="18" xfId="0" applyNumberFormat="1" applyFont="1" applyBorder="1" applyAlignment="1">
      <alignment horizontal="left"/>
    </xf>
    <xf numFmtId="1" fontId="77" fillId="0" borderId="16" xfId="44" applyNumberFormat="1" applyFont="1" applyBorder="1" applyAlignment="1">
      <alignment horizontal="left"/>
    </xf>
    <xf numFmtId="1" fontId="77" fillId="0" borderId="17" xfId="42" applyNumberFormat="1" applyFont="1" applyBorder="1" applyAlignment="1">
      <alignment horizontal="left"/>
    </xf>
    <xf numFmtId="1" fontId="77" fillId="0" borderId="14" xfId="42" applyNumberFormat="1" applyFont="1" applyBorder="1" applyAlignment="1">
      <alignment horizontal="left"/>
    </xf>
    <xf numFmtId="1" fontId="78" fillId="0" borderId="19" xfId="0" applyNumberFormat="1" applyFont="1" applyBorder="1" applyAlignment="1">
      <alignment horizontal="left"/>
    </xf>
    <xf numFmtId="2" fontId="77" fillId="0" borderId="0" xfId="0" applyNumberFormat="1" applyFont="1" applyAlignment="1">
      <alignment horizontal="left"/>
    </xf>
    <xf numFmtId="1" fontId="77" fillId="0" borderId="10" xfId="0" applyNumberFormat="1" applyFont="1" applyBorder="1" applyAlignment="1">
      <alignment horizontal="left" vertical="center"/>
    </xf>
    <xf numFmtId="1" fontId="77" fillId="0" borderId="10" xfId="44" applyNumberFormat="1" applyFont="1" applyBorder="1" applyAlignment="1">
      <alignment horizontal="left"/>
    </xf>
    <xf numFmtId="1" fontId="78" fillId="0" borderId="20" xfId="0" applyNumberFormat="1" applyFont="1" applyBorder="1" applyAlignment="1">
      <alignment horizontal="left"/>
    </xf>
    <xf numFmtId="1" fontId="78" fillId="0" borderId="21" xfId="0" applyNumberFormat="1" applyFont="1" applyBorder="1" applyAlignment="1">
      <alignment horizontal="left"/>
    </xf>
    <xf numFmtId="0" fontId="81" fillId="0" borderId="0" xfId="0" applyFont="1" applyAlignment="1">
      <alignment horizontal="left"/>
    </xf>
    <xf numFmtId="2" fontId="82" fillId="0" borderId="10" xfId="0" applyNumberFormat="1" applyFont="1" applyBorder="1" applyAlignment="1">
      <alignment horizontal="left"/>
    </xf>
    <xf numFmtId="2" fontId="82" fillId="0" borderId="11" xfId="0" applyNumberFormat="1" applyFont="1" applyBorder="1" applyAlignment="1">
      <alignment horizontal="left"/>
    </xf>
    <xf numFmtId="2" fontId="82" fillId="0" borderId="22" xfId="0" applyNumberFormat="1" applyFont="1" applyBorder="1" applyAlignment="1">
      <alignment horizontal="left"/>
    </xf>
    <xf numFmtId="0" fontId="77" fillId="0" borderId="11" xfId="0" applyFont="1" applyBorder="1" applyAlignment="1">
      <alignment horizontal="left"/>
    </xf>
    <xf numFmtId="2" fontId="82" fillId="0" borderId="13" xfId="0" applyNumberFormat="1" applyFont="1" applyBorder="1" applyAlignment="1">
      <alignment horizontal="left"/>
    </xf>
    <xf numFmtId="172" fontId="83" fillId="0" borderId="11" xfId="0" applyNumberFormat="1" applyFont="1" applyBorder="1" applyAlignment="1">
      <alignment horizontal="left"/>
    </xf>
    <xf numFmtId="2" fontId="82" fillId="0" borderId="10" xfId="0" applyNumberFormat="1" applyFont="1" applyFill="1" applyBorder="1" applyAlignment="1">
      <alignment horizontal="left"/>
    </xf>
    <xf numFmtId="2" fontId="82" fillId="0" borderId="11" xfId="0" applyNumberFormat="1" applyFont="1" applyFill="1" applyBorder="1" applyAlignment="1">
      <alignment horizontal="left"/>
    </xf>
    <xf numFmtId="2" fontId="82" fillId="0" borderId="11" xfId="42" applyNumberFormat="1" applyFont="1" applyBorder="1" applyAlignment="1">
      <alignment horizontal="left"/>
    </xf>
    <xf numFmtId="2" fontId="84" fillId="0" borderId="13" xfId="0" applyNumberFormat="1" applyFont="1" applyBorder="1" applyAlignment="1">
      <alignment horizontal="left"/>
    </xf>
    <xf numFmtId="2" fontId="82" fillId="0" borderId="10" xfId="42" applyNumberFormat="1" applyFont="1" applyBorder="1" applyAlignment="1">
      <alignment horizontal="left"/>
    </xf>
    <xf numFmtId="2" fontId="84" fillId="0" borderId="10" xfId="0" applyNumberFormat="1" applyFont="1" applyBorder="1" applyAlignment="1">
      <alignment horizontal="left"/>
    </xf>
    <xf numFmtId="2" fontId="78" fillId="0" borderId="10" xfId="0" applyNumberFormat="1" applyFont="1" applyBorder="1" applyAlignment="1">
      <alignment horizontal="left" vertical="center"/>
    </xf>
    <xf numFmtId="2" fontId="81" fillId="0" borderId="0" xfId="0" applyNumberFormat="1" applyFont="1" applyAlignment="1">
      <alignment horizontal="left"/>
    </xf>
    <xf numFmtId="2" fontId="78" fillId="0" borderId="10" xfId="44" applyNumberFormat="1" applyFont="1" applyBorder="1" applyAlignment="1">
      <alignment horizontal="left"/>
    </xf>
    <xf numFmtId="2" fontId="78" fillId="0" borderId="11" xfId="44" applyNumberFormat="1" applyFont="1" applyBorder="1" applyAlignment="1">
      <alignment horizontal="left"/>
    </xf>
    <xf numFmtId="0" fontId="85" fillId="0" borderId="0" xfId="0" applyFont="1" applyBorder="1" applyAlignment="1">
      <alignment horizontal="left"/>
    </xf>
    <xf numFmtId="0" fontId="78" fillId="0" borderId="0" xfId="0" applyFont="1" applyAlignment="1">
      <alignment/>
    </xf>
    <xf numFmtId="0" fontId="86" fillId="0" borderId="0" xfId="0" applyFont="1" applyAlignment="1">
      <alignment horizontal="left"/>
    </xf>
    <xf numFmtId="2" fontId="78" fillId="0" borderId="13" xfId="0" applyNumberFormat="1" applyFont="1" applyBorder="1" applyAlignment="1">
      <alignment horizontal="left" vertical="center"/>
    </xf>
    <xf numFmtId="2" fontId="78" fillId="0" borderId="12" xfId="0" applyNumberFormat="1" applyFont="1" applyBorder="1" applyAlignment="1">
      <alignment horizontal="left" vertical="center"/>
    </xf>
    <xf numFmtId="0" fontId="78" fillId="0" borderId="0" xfId="0" applyFont="1" applyAlignment="1">
      <alignment horizontal="left"/>
    </xf>
    <xf numFmtId="2" fontId="78" fillId="0" borderId="22" xfId="0" applyNumberFormat="1" applyFont="1" applyBorder="1" applyAlignment="1">
      <alignment horizontal="left"/>
    </xf>
    <xf numFmtId="2" fontId="78" fillId="0" borderId="11" xfId="0" applyNumberFormat="1" applyFont="1" applyFill="1" applyBorder="1" applyAlignment="1">
      <alignment horizontal="left"/>
    </xf>
    <xf numFmtId="2" fontId="78" fillId="0" borderId="10" xfId="42" applyNumberFormat="1" applyFont="1" applyBorder="1" applyAlignment="1">
      <alignment horizontal="left"/>
    </xf>
    <xf numFmtId="2" fontId="78" fillId="0" borderId="11" xfId="42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78" fillId="0" borderId="10" xfId="0" applyNumberFormat="1" applyFont="1" applyBorder="1" applyAlignment="1">
      <alignment horizontal="left" wrapText="1"/>
    </xf>
    <xf numFmtId="0" fontId="85" fillId="0" borderId="23" xfId="0" applyFont="1" applyBorder="1" applyAlignment="1">
      <alignment horizontal="left"/>
    </xf>
    <xf numFmtId="0" fontId="81" fillId="0" borderId="0" xfId="0" applyFont="1" applyAlignment="1">
      <alignment/>
    </xf>
    <xf numFmtId="0" fontId="83" fillId="0" borderId="24" xfId="0" applyFont="1" applyBorder="1" applyAlignment="1">
      <alignment horizontal="left"/>
    </xf>
    <xf numFmtId="1" fontId="86" fillId="0" borderId="10" xfId="0" applyNumberFormat="1" applyFont="1" applyBorder="1" applyAlignment="1">
      <alignment horizontal="left" vertical="center"/>
    </xf>
    <xf numFmtId="0" fontId="87" fillId="0" borderId="12" xfId="0" applyFont="1" applyBorder="1" applyAlignment="1">
      <alignment horizontal="left"/>
    </xf>
    <xf numFmtId="0" fontId="87" fillId="0" borderId="0" xfId="0" applyFont="1" applyAlignment="1">
      <alignment horizontal="left"/>
    </xf>
    <xf numFmtId="2" fontId="87" fillId="0" borderId="12" xfId="0" applyNumberFormat="1" applyFont="1" applyBorder="1" applyAlignment="1">
      <alignment horizontal="left" vertical="center"/>
    </xf>
    <xf numFmtId="2" fontId="87" fillId="0" borderId="10" xfId="0" applyNumberFormat="1" applyFont="1" applyBorder="1" applyAlignment="1">
      <alignment horizontal="left"/>
    </xf>
    <xf numFmtId="2" fontId="87" fillId="0" borderId="11" xfId="0" applyNumberFormat="1" applyFont="1" applyBorder="1" applyAlignment="1">
      <alignment horizontal="left"/>
    </xf>
    <xf numFmtId="2" fontId="87" fillId="0" borderId="12" xfId="0" applyNumberFormat="1" applyFont="1" applyBorder="1" applyAlignment="1">
      <alignment horizontal="left"/>
    </xf>
    <xf numFmtId="2" fontId="87" fillId="0" borderId="22" xfId="0" applyNumberFormat="1" applyFont="1" applyBorder="1" applyAlignment="1">
      <alignment horizontal="left"/>
    </xf>
    <xf numFmtId="1" fontId="87" fillId="0" borderId="10" xfId="0" applyNumberFormat="1" applyFont="1" applyBorder="1" applyAlignment="1">
      <alignment horizontal="left"/>
    </xf>
    <xf numFmtId="1" fontId="87" fillId="0" borderId="11" xfId="0" applyNumberFormat="1" applyFont="1" applyBorder="1" applyAlignment="1">
      <alignment horizontal="left"/>
    </xf>
    <xf numFmtId="1" fontId="87" fillId="0" borderId="12" xfId="0" applyNumberFormat="1" applyFont="1" applyBorder="1" applyAlignment="1">
      <alignment horizontal="left"/>
    </xf>
    <xf numFmtId="2" fontId="87" fillId="0" borderId="10" xfId="44" applyNumberFormat="1" applyFont="1" applyBorder="1" applyAlignment="1">
      <alignment horizontal="left"/>
    </xf>
    <xf numFmtId="2" fontId="87" fillId="0" borderId="12" xfId="44" applyNumberFormat="1" applyFont="1" applyBorder="1" applyAlignment="1">
      <alignment horizontal="left"/>
    </xf>
    <xf numFmtId="2" fontId="87" fillId="0" borderId="10" xfId="0" applyNumberFormat="1" applyFont="1" applyBorder="1" applyAlignment="1">
      <alignment horizontal="left" wrapText="1"/>
    </xf>
    <xf numFmtId="2" fontId="87" fillId="0" borderId="11" xfId="42" applyNumberFormat="1" applyFont="1" applyBorder="1" applyAlignment="1">
      <alignment horizontal="left"/>
    </xf>
    <xf numFmtId="2" fontId="86" fillId="0" borderId="10" xfId="0" applyNumberFormat="1" applyFont="1" applyBorder="1" applyAlignment="1">
      <alignment horizontal="left"/>
    </xf>
    <xf numFmtId="2" fontId="86" fillId="0" borderId="25" xfId="0" applyNumberFormat="1" applyFont="1" applyBorder="1" applyAlignment="1">
      <alignment horizontal="left"/>
    </xf>
    <xf numFmtId="1" fontId="87" fillId="0" borderId="11" xfId="0" applyNumberFormat="1" applyFont="1" applyBorder="1" applyAlignment="1">
      <alignment horizontal="left" vertical="center"/>
    </xf>
    <xf numFmtId="1" fontId="87" fillId="0" borderId="12" xfId="0" applyNumberFormat="1" applyFont="1" applyBorder="1" applyAlignment="1">
      <alignment horizontal="left" vertical="center"/>
    </xf>
    <xf numFmtId="1" fontId="87" fillId="0" borderId="22" xfId="0" applyNumberFormat="1" applyFont="1" applyBorder="1" applyAlignment="1">
      <alignment horizontal="left"/>
    </xf>
    <xf numFmtId="1" fontId="87" fillId="0" borderId="0" xfId="0" applyNumberFormat="1" applyFont="1" applyBorder="1" applyAlignment="1">
      <alignment horizontal="left"/>
    </xf>
    <xf numFmtId="1" fontId="87" fillId="0" borderId="26" xfId="0" applyNumberFormat="1" applyFont="1" applyBorder="1" applyAlignment="1">
      <alignment horizontal="left"/>
    </xf>
    <xf numFmtId="1" fontId="87" fillId="0" borderId="15" xfId="0" applyNumberFormat="1" applyFont="1" applyBorder="1" applyAlignment="1">
      <alignment horizontal="left"/>
    </xf>
    <xf numFmtId="1" fontId="87" fillId="0" borderId="11" xfId="44" applyNumberFormat="1" applyFont="1" applyBorder="1" applyAlignment="1">
      <alignment horizontal="left"/>
    </xf>
    <xf numFmtId="1" fontId="87" fillId="0" borderId="12" xfId="44" applyNumberFormat="1" applyFont="1" applyBorder="1" applyAlignment="1">
      <alignment horizontal="left"/>
    </xf>
    <xf numFmtId="1" fontId="87" fillId="0" borderId="11" xfId="0" applyNumberFormat="1" applyFont="1" applyFill="1" applyBorder="1" applyAlignment="1">
      <alignment horizontal="left"/>
    </xf>
    <xf numFmtId="1" fontId="87" fillId="0" borderId="10" xfId="42" applyNumberFormat="1" applyFont="1" applyBorder="1" applyAlignment="1">
      <alignment horizontal="left"/>
    </xf>
    <xf numFmtId="1" fontId="87" fillId="0" borderId="11" xfId="42" applyNumberFormat="1" applyFont="1" applyBorder="1" applyAlignment="1">
      <alignment horizontal="left"/>
    </xf>
    <xf numFmtId="1" fontId="87" fillId="0" borderId="12" xfId="42" applyNumberFormat="1" applyFont="1" applyBorder="1" applyAlignment="1">
      <alignment horizontal="left"/>
    </xf>
    <xf numFmtId="1" fontId="86" fillId="0" borderId="10" xfId="0" applyNumberFormat="1" applyFont="1" applyBorder="1" applyAlignment="1">
      <alignment horizontal="left"/>
    </xf>
    <xf numFmtId="1" fontId="86" fillId="0" borderId="24" xfId="0" applyNumberFormat="1" applyFont="1" applyBorder="1" applyAlignment="1">
      <alignment horizontal="left"/>
    </xf>
    <xf numFmtId="0" fontId="88" fillId="0" borderId="24" xfId="0" applyFont="1" applyBorder="1" applyAlignment="1">
      <alignment horizontal="left"/>
    </xf>
    <xf numFmtId="1" fontId="86" fillId="0" borderId="13" xfId="0" applyNumberFormat="1" applyFont="1" applyBorder="1" applyAlignment="1">
      <alignment horizontal="left" vertical="center"/>
    </xf>
    <xf numFmtId="1" fontId="86" fillId="0" borderId="11" xfId="0" applyNumberFormat="1" applyFont="1" applyBorder="1" applyAlignment="1">
      <alignment horizontal="left"/>
    </xf>
    <xf numFmtId="1" fontId="86" fillId="0" borderId="22" xfId="0" applyNumberFormat="1" applyFont="1" applyBorder="1" applyAlignment="1">
      <alignment horizontal="left"/>
    </xf>
    <xf numFmtId="1" fontId="81" fillId="0" borderId="0" xfId="0" applyNumberFormat="1" applyFont="1" applyAlignment="1">
      <alignment horizontal="left"/>
    </xf>
    <xf numFmtId="2" fontId="87" fillId="0" borderId="10" xfId="0" applyNumberFormat="1" applyFont="1" applyBorder="1" applyAlignment="1">
      <alignment horizontal="left" vertical="center"/>
    </xf>
    <xf numFmtId="2" fontId="87" fillId="0" borderId="13" xfId="0" applyNumberFormat="1" applyFont="1" applyBorder="1" applyAlignment="1">
      <alignment horizontal="left"/>
    </xf>
    <xf numFmtId="1" fontId="87" fillId="0" borderId="13" xfId="0" applyNumberFormat="1" applyFont="1" applyBorder="1" applyAlignment="1">
      <alignment horizontal="left"/>
    </xf>
    <xf numFmtId="1" fontId="86" fillId="0" borderId="13" xfId="0" applyNumberFormat="1" applyFont="1" applyBorder="1" applyAlignment="1">
      <alignment horizontal="left"/>
    </xf>
    <xf numFmtId="1" fontId="86" fillId="0" borderId="27" xfId="0" applyNumberFormat="1" applyFont="1" applyBorder="1" applyAlignment="1">
      <alignment horizontal="left"/>
    </xf>
    <xf numFmtId="1" fontId="86" fillId="0" borderId="25" xfId="0" applyNumberFormat="1" applyFont="1" applyBorder="1" applyAlignment="1">
      <alignment horizontal="left"/>
    </xf>
    <xf numFmtId="0" fontId="87" fillId="0" borderId="15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2" fontId="86" fillId="0" borderId="10" xfId="0" applyNumberFormat="1" applyFont="1" applyBorder="1" applyAlignment="1">
      <alignment horizontal="left" vertical="center"/>
    </xf>
    <xf numFmtId="2" fontId="86" fillId="0" borderId="13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87" fillId="0" borderId="28" xfId="0" applyNumberFormat="1" applyFont="1" applyBorder="1" applyAlignment="1">
      <alignment horizontal="left" vertical="center"/>
    </xf>
    <xf numFmtId="2" fontId="87" fillId="0" borderId="29" xfId="0" applyNumberFormat="1" applyFont="1" applyBorder="1" applyAlignment="1">
      <alignment horizontal="left"/>
    </xf>
    <xf numFmtId="1" fontId="87" fillId="0" borderId="29" xfId="0" applyNumberFormat="1" applyFont="1" applyBorder="1" applyAlignment="1">
      <alignment horizontal="left"/>
    </xf>
    <xf numFmtId="1" fontId="87" fillId="0" borderId="30" xfId="0" applyNumberFormat="1" applyFont="1" applyBorder="1" applyAlignment="1">
      <alignment horizontal="left"/>
    </xf>
    <xf numFmtId="2" fontId="87" fillId="0" borderId="28" xfId="0" applyNumberFormat="1" applyFont="1" applyBorder="1" applyAlignment="1">
      <alignment horizontal="left"/>
    </xf>
    <xf numFmtId="1" fontId="87" fillId="0" borderId="28" xfId="0" applyNumberFormat="1" applyFont="1" applyBorder="1" applyAlignment="1">
      <alignment horizontal="left"/>
    </xf>
    <xf numFmtId="2" fontId="87" fillId="0" borderId="28" xfId="44" applyNumberFormat="1" applyFont="1" applyBorder="1" applyAlignment="1">
      <alignment horizontal="left"/>
    </xf>
    <xf numFmtId="1" fontId="87" fillId="0" borderId="30" xfId="0" applyNumberFormat="1" applyFont="1" applyFill="1" applyBorder="1" applyAlignment="1">
      <alignment horizontal="left"/>
    </xf>
    <xf numFmtId="1" fontId="87" fillId="0" borderId="28" xfId="42" applyNumberFormat="1" applyFont="1" applyBorder="1" applyAlignment="1">
      <alignment horizontal="left"/>
    </xf>
    <xf numFmtId="1" fontId="87" fillId="0" borderId="30" xfId="42" applyNumberFormat="1" applyFont="1" applyBorder="1" applyAlignment="1">
      <alignment horizontal="left"/>
    </xf>
    <xf numFmtId="1" fontId="86" fillId="0" borderId="28" xfId="0" applyNumberFormat="1" applyFont="1" applyBorder="1" applyAlignment="1">
      <alignment horizontal="left"/>
    </xf>
    <xf numFmtId="1" fontId="86" fillId="0" borderId="29" xfId="0" applyNumberFormat="1" applyFont="1" applyBorder="1" applyAlignment="1">
      <alignment horizontal="left"/>
    </xf>
    <xf numFmtId="0" fontId="87" fillId="0" borderId="31" xfId="0" applyFont="1" applyBorder="1" applyAlignment="1">
      <alignment horizontal="left"/>
    </xf>
    <xf numFmtId="0" fontId="87" fillId="0" borderId="32" xfId="0" applyFont="1" applyBorder="1" applyAlignment="1">
      <alignment horizontal="left"/>
    </xf>
    <xf numFmtId="0" fontId="87" fillId="0" borderId="33" xfId="0" applyFont="1" applyBorder="1" applyAlignment="1">
      <alignment horizontal="left"/>
    </xf>
    <xf numFmtId="1" fontId="87" fillId="0" borderId="33" xfId="0" applyNumberFormat="1" applyFont="1" applyBorder="1" applyAlignment="1">
      <alignment horizontal="left"/>
    </xf>
    <xf numFmtId="1" fontId="87" fillId="0" borderId="32" xfId="0" applyNumberFormat="1" applyFont="1" applyBorder="1" applyAlignment="1">
      <alignment horizontal="left"/>
    </xf>
    <xf numFmtId="1" fontId="87" fillId="0" borderId="31" xfId="0" applyNumberFormat="1" applyFont="1" applyBorder="1" applyAlignment="1">
      <alignment horizontal="left"/>
    </xf>
    <xf numFmtId="1" fontId="86" fillId="0" borderId="34" xfId="0" applyNumberFormat="1" applyFont="1" applyBorder="1" applyAlignment="1">
      <alignment horizontal="left"/>
    </xf>
    <xf numFmtId="1" fontId="86" fillId="0" borderId="35" xfId="0" applyNumberFormat="1" applyFont="1" applyBorder="1" applyAlignment="1">
      <alignment horizontal="left"/>
    </xf>
    <xf numFmtId="0" fontId="87" fillId="0" borderId="26" xfId="0" applyFont="1" applyBorder="1" applyAlignment="1">
      <alignment horizontal="left"/>
    </xf>
    <xf numFmtId="1" fontId="87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88" fillId="0" borderId="36" xfId="0" applyFont="1" applyBorder="1" applyAlignment="1">
      <alignment horizontal="left"/>
    </xf>
    <xf numFmtId="0" fontId="75" fillId="0" borderId="0" xfId="0" applyFont="1" applyAlignment="1">
      <alignment/>
    </xf>
    <xf numFmtId="0" fontId="88" fillId="0" borderId="37" xfId="0" applyFont="1" applyBorder="1" applyAlignment="1">
      <alignment horizontal="left"/>
    </xf>
    <xf numFmtId="0" fontId="86" fillId="0" borderId="16" xfId="0" applyFont="1" applyBorder="1" applyAlignment="1">
      <alignment horizontal="left" vertical="center"/>
    </xf>
    <xf numFmtId="0" fontId="86" fillId="0" borderId="14" xfId="0" applyFont="1" applyBorder="1" applyAlignment="1">
      <alignment horizontal="left" vertical="center"/>
    </xf>
    <xf numFmtId="0" fontId="86" fillId="0" borderId="18" xfId="0" applyFont="1" applyBorder="1" applyAlignment="1">
      <alignment horizontal="left" vertical="center"/>
    </xf>
    <xf numFmtId="0" fontId="86" fillId="0" borderId="17" xfId="0" applyFont="1" applyBorder="1" applyAlignment="1">
      <alignment horizontal="left" vertical="center"/>
    </xf>
    <xf numFmtId="1" fontId="86" fillId="0" borderId="18" xfId="0" applyNumberFormat="1" applyFont="1" applyBorder="1" applyAlignment="1">
      <alignment horizontal="left" vertical="center"/>
    </xf>
    <xf numFmtId="1" fontId="86" fillId="0" borderId="17" xfId="0" applyNumberFormat="1" applyFont="1" applyBorder="1" applyAlignment="1">
      <alignment horizontal="left" vertical="center"/>
    </xf>
    <xf numFmtId="1" fontId="86" fillId="0" borderId="14" xfId="0" applyNumberFormat="1" applyFont="1" applyBorder="1" applyAlignment="1">
      <alignment horizontal="left" vertical="center"/>
    </xf>
    <xf numFmtId="0" fontId="86" fillId="0" borderId="38" xfId="0" applyFont="1" applyBorder="1" applyAlignment="1">
      <alignment horizontal="left" vertical="center"/>
    </xf>
    <xf numFmtId="1" fontId="86" fillId="0" borderId="16" xfId="0" applyNumberFormat="1" applyFont="1" applyBorder="1" applyAlignment="1">
      <alignment horizontal="left" vertical="center"/>
    </xf>
    <xf numFmtId="1" fontId="86" fillId="0" borderId="38" xfId="0" applyNumberFormat="1" applyFont="1" applyBorder="1" applyAlignment="1">
      <alignment horizontal="left" vertical="center"/>
    </xf>
    <xf numFmtId="1" fontId="87" fillId="0" borderId="18" xfId="0" applyNumberFormat="1" applyFont="1" applyBorder="1" applyAlignment="1">
      <alignment horizontal="left"/>
    </xf>
    <xf numFmtId="1" fontId="87" fillId="0" borderId="0" xfId="0" applyNumberFormat="1" applyFont="1" applyAlignment="1">
      <alignment/>
    </xf>
    <xf numFmtId="1" fontId="83" fillId="0" borderId="22" xfId="0" applyNumberFormat="1" applyFont="1" applyBorder="1" applyAlignment="1">
      <alignment horizontal="left"/>
    </xf>
    <xf numFmtId="1" fontId="88" fillId="0" borderId="22" xfId="0" applyNumberFormat="1" applyFont="1" applyBorder="1" applyAlignment="1">
      <alignment horizontal="left"/>
    </xf>
    <xf numFmtId="1" fontId="82" fillId="0" borderId="13" xfId="0" applyNumberFormat="1" applyFont="1" applyBorder="1" applyAlignment="1">
      <alignment horizontal="left"/>
    </xf>
    <xf numFmtId="1" fontId="82" fillId="0" borderId="11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left"/>
    </xf>
    <xf numFmtId="1" fontId="82" fillId="0" borderId="29" xfId="0" applyNumberFormat="1" applyFont="1" applyBorder="1" applyAlignment="1">
      <alignment horizontal="left"/>
    </xf>
    <xf numFmtId="1" fontId="77" fillId="0" borderId="22" xfId="0" applyNumberFormat="1" applyFont="1" applyBorder="1" applyAlignment="1">
      <alignment horizontal="left" vertical="center"/>
    </xf>
    <xf numFmtId="1" fontId="77" fillId="0" borderId="27" xfId="0" applyNumberFormat="1" applyFont="1" applyBorder="1" applyAlignment="1">
      <alignment horizontal="left" vertical="center"/>
    </xf>
    <xf numFmtId="1" fontId="77" fillId="0" borderId="10" xfId="42" applyNumberFormat="1" applyFont="1" applyBorder="1" applyAlignment="1">
      <alignment horizontal="left"/>
    </xf>
    <xf numFmtId="2" fontId="77" fillId="0" borderId="22" xfId="0" applyNumberFormat="1" applyFont="1" applyBorder="1" applyAlignment="1">
      <alignment horizontal="left"/>
    </xf>
    <xf numFmtId="2" fontId="77" fillId="0" borderId="10" xfId="44" applyNumberFormat="1" applyFont="1" applyBorder="1" applyAlignment="1">
      <alignment horizontal="left"/>
    </xf>
    <xf numFmtId="2" fontId="77" fillId="0" borderId="27" xfId="0" applyNumberFormat="1" applyFont="1" applyBorder="1" applyAlignment="1">
      <alignment horizontal="left" vertical="center"/>
    </xf>
    <xf numFmtId="1" fontId="77" fillId="0" borderId="0" xfId="0" applyNumberFormat="1" applyFont="1" applyFill="1" applyAlignment="1">
      <alignment horizontal="left"/>
    </xf>
    <xf numFmtId="1" fontId="77" fillId="0" borderId="0" xfId="0" applyNumberFormat="1" applyFont="1" applyAlignment="1">
      <alignment/>
    </xf>
    <xf numFmtId="1" fontId="77" fillId="0" borderId="39" xfId="0" applyNumberFormat="1" applyFont="1" applyBorder="1" applyAlignment="1">
      <alignment horizontal="left"/>
    </xf>
    <xf numFmtId="0" fontId="86" fillId="0" borderId="40" xfId="0" applyFont="1" applyBorder="1" applyAlignment="1">
      <alignment horizontal="left" vertical="center"/>
    </xf>
    <xf numFmtId="0" fontId="86" fillId="0" borderId="41" xfId="0" applyFont="1" applyBorder="1" applyAlignment="1">
      <alignment horizontal="left" vertical="center"/>
    </xf>
    <xf numFmtId="0" fontId="86" fillId="0" borderId="42" xfId="0" applyFont="1" applyBorder="1" applyAlignment="1">
      <alignment horizontal="left" vertical="center"/>
    </xf>
    <xf numFmtId="1" fontId="87" fillId="0" borderId="13" xfId="0" applyNumberFormat="1" applyFont="1" applyFill="1" applyBorder="1" applyAlignment="1">
      <alignment horizontal="left"/>
    </xf>
    <xf numFmtId="1" fontId="87" fillId="0" borderId="29" xfId="0" applyNumberFormat="1" applyFont="1" applyFill="1" applyBorder="1" applyAlignment="1">
      <alignment horizontal="left"/>
    </xf>
    <xf numFmtId="1" fontId="83" fillId="0" borderId="11" xfId="0" applyNumberFormat="1" applyFont="1" applyBorder="1" applyAlignment="1">
      <alignment horizontal="left"/>
    </xf>
    <xf numFmtId="1" fontId="83" fillId="0" borderId="10" xfId="0" applyNumberFormat="1" applyFont="1" applyBorder="1" applyAlignment="1">
      <alignment horizontal="left"/>
    </xf>
    <xf numFmtId="0" fontId="87" fillId="0" borderId="43" xfId="0" applyFont="1" applyBorder="1" applyAlignment="1">
      <alignment horizontal="left"/>
    </xf>
    <xf numFmtId="2" fontId="77" fillId="0" borderId="13" xfId="0" applyNumberFormat="1" applyFont="1" applyBorder="1" applyAlignment="1">
      <alignment horizontal="left" vertical="center"/>
    </xf>
    <xf numFmtId="0" fontId="83" fillId="0" borderId="44" xfId="0" applyFont="1" applyBorder="1" applyAlignment="1">
      <alignment horizontal="left"/>
    </xf>
    <xf numFmtId="2" fontId="84" fillId="0" borderId="24" xfId="0" applyNumberFormat="1" applyFont="1" applyBorder="1" applyAlignment="1">
      <alignment horizontal="left"/>
    </xf>
    <xf numFmtId="0" fontId="83" fillId="0" borderId="36" xfId="0" applyFont="1" applyBorder="1" applyAlignment="1">
      <alignment horizontal="left"/>
    </xf>
    <xf numFmtId="2" fontId="82" fillId="0" borderId="28" xfId="0" applyNumberFormat="1" applyFont="1" applyBorder="1" applyAlignment="1">
      <alignment horizontal="left"/>
    </xf>
    <xf numFmtId="2" fontId="82" fillId="0" borderId="30" xfId="0" applyNumberFormat="1" applyFont="1" applyBorder="1" applyAlignment="1">
      <alignment horizontal="left"/>
    </xf>
    <xf numFmtId="2" fontId="82" fillId="0" borderId="45" xfId="0" applyNumberFormat="1" applyFont="1" applyBorder="1" applyAlignment="1">
      <alignment horizontal="left"/>
    </xf>
    <xf numFmtId="2" fontId="82" fillId="0" borderId="29" xfId="0" applyNumberFormat="1" applyFont="1" applyBorder="1" applyAlignment="1">
      <alignment horizontal="left"/>
    </xf>
    <xf numFmtId="2" fontId="82" fillId="0" borderId="28" xfId="0" applyNumberFormat="1" applyFont="1" applyFill="1" applyBorder="1" applyAlignment="1">
      <alignment horizontal="left"/>
    </xf>
    <xf numFmtId="2" fontId="82" fillId="0" borderId="30" xfId="0" applyNumberFormat="1" applyFont="1" applyFill="1" applyBorder="1" applyAlignment="1">
      <alignment horizontal="left"/>
    </xf>
    <xf numFmtId="2" fontId="82" fillId="0" borderId="30" xfId="42" applyNumberFormat="1" applyFont="1" applyBorder="1" applyAlignment="1">
      <alignment horizontal="left"/>
    </xf>
    <xf numFmtId="2" fontId="82" fillId="0" borderId="28" xfId="42" applyNumberFormat="1" applyFont="1" applyBorder="1" applyAlignment="1">
      <alignment horizontal="left"/>
    </xf>
    <xf numFmtId="2" fontId="84" fillId="0" borderId="28" xfId="0" applyNumberFormat="1" applyFont="1" applyBorder="1" applyAlignment="1">
      <alignment horizontal="left"/>
    </xf>
    <xf numFmtId="2" fontId="84" fillId="0" borderId="36" xfId="0" applyNumberFormat="1" applyFont="1" applyBorder="1" applyAlignment="1">
      <alignment horizontal="left"/>
    </xf>
    <xf numFmtId="2" fontId="82" fillId="0" borderId="46" xfId="0" applyNumberFormat="1" applyFont="1" applyBorder="1" applyAlignment="1">
      <alignment horizontal="left"/>
    </xf>
    <xf numFmtId="2" fontId="82" fillId="0" borderId="47" xfId="0" applyNumberFormat="1" applyFont="1" applyBorder="1" applyAlignment="1">
      <alignment horizontal="left"/>
    </xf>
    <xf numFmtId="2" fontId="82" fillId="0" borderId="48" xfId="0" applyNumberFormat="1" applyFont="1" applyBorder="1" applyAlignment="1">
      <alignment horizontal="left"/>
    </xf>
    <xf numFmtId="2" fontId="82" fillId="0" borderId="49" xfId="0" applyNumberFormat="1" applyFont="1" applyBorder="1" applyAlignment="1">
      <alignment horizontal="left"/>
    </xf>
    <xf numFmtId="2" fontId="82" fillId="0" borderId="46" xfId="0" applyNumberFormat="1" applyFont="1" applyFill="1" applyBorder="1" applyAlignment="1">
      <alignment horizontal="left"/>
    </xf>
    <xf numFmtId="2" fontId="82" fillId="0" borderId="47" xfId="0" applyNumberFormat="1" applyFont="1" applyFill="1" applyBorder="1" applyAlignment="1">
      <alignment horizontal="left"/>
    </xf>
    <xf numFmtId="2" fontId="82" fillId="0" borderId="47" xfId="42" applyNumberFormat="1" applyFont="1" applyBorder="1" applyAlignment="1">
      <alignment horizontal="left"/>
    </xf>
    <xf numFmtId="2" fontId="84" fillId="0" borderId="49" xfId="0" applyNumberFormat="1" applyFont="1" applyBorder="1" applyAlignment="1">
      <alignment horizontal="left"/>
    </xf>
    <xf numFmtId="2" fontId="82" fillId="0" borderId="46" xfId="42" applyNumberFormat="1" applyFont="1" applyBorder="1" applyAlignment="1">
      <alignment horizontal="left"/>
    </xf>
    <xf numFmtId="2" fontId="84" fillId="0" borderId="46" xfId="0" applyNumberFormat="1" applyFont="1" applyBorder="1" applyAlignment="1">
      <alignment horizontal="left"/>
    </xf>
    <xf numFmtId="2" fontId="84" fillId="0" borderId="50" xfId="0" applyNumberFormat="1" applyFont="1" applyBorder="1" applyAlignment="1">
      <alignment horizontal="left"/>
    </xf>
    <xf numFmtId="2" fontId="77" fillId="0" borderId="29" xfId="0" applyNumberFormat="1" applyFont="1" applyBorder="1" applyAlignment="1">
      <alignment horizontal="left" vertical="center"/>
    </xf>
    <xf numFmtId="2" fontId="77" fillId="0" borderId="28" xfId="0" applyNumberFormat="1" applyFont="1" applyBorder="1" applyAlignment="1">
      <alignment horizontal="left"/>
    </xf>
    <xf numFmtId="0" fontId="77" fillId="0" borderId="30" xfId="0" applyFont="1" applyBorder="1" applyAlignment="1">
      <alignment horizontal="left"/>
    </xf>
    <xf numFmtId="2" fontId="77" fillId="0" borderId="29" xfId="0" applyNumberFormat="1" applyFont="1" applyBorder="1" applyAlignment="1">
      <alignment horizontal="left"/>
    </xf>
    <xf numFmtId="2" fontId="77" fillId="0" borderId="30" xfId="0" applyNumberFormat="1" applyFont="1" applyBorder="1" applyAlignment="1">
      <alignment horizontal="left"/>
    </xf>
    <xf numFmtId="172" fontId="83" fillId="0" borderId="30" xfId="0" applyNumberFormat="1" applyFont="1" applyBorder="1" applyAlignment="1">
      <alignment horizontal="left"/>
    </xf>
    <xf numFmtId="0" fontId="87" fillId="0" borderId="50" xfId="0" applyFont="1" applyBorder="1" applyAlignment="1">
      <alignment horizontal="left"/>
    </xf>
    <xf numFmtId="2" fontId="78" fillId="0" borderId="49" xfId="0" applyNumberFormat="1" applyFont="1" applyBorder="1" applyAlignment="1">
      <alignment horizontal="left" vertical="center"/>
    </xf>
    <xf numFmtId="2" fontId="78" fillId="0" borderId="47" xfId="0" applyNumberFormat="1" applyFont="1" applyBorder="1" applyAlignment="1">
      <alignment horizontal="left" vertical="center"/>
    </xf>
    <xf numFmtId="2" fontId="78" fillId="0" borderId="46" xfId="0" applyNumberFormat="1" applyFont="1" applyBorder="1" applyAlignment="1">
      <alignment horizontal="left"/>
    </xf>
    <xf numFmtId="0" fontId="78" fillId="0" borderId="47" xfId="0" applyFont="1" applyBorder="1" applyAlignment="1">
      <alignment horizontal="left"/>
    </xf>
    <xf numFmtId="2" fontId="78" fillId="0" borderId="47" xfId="0" applyNumberFormat="1" applyFont="1" applyBorder="1" applyAlignment="1">
      <alignment horizontal="left"/>
    </xf>
    <xf numFmtId="0" fontId="87" fillId="0" borderId="47" xfId="0" applyFont="1" applyBorder="1" applyAlignment="1">
      <alignment horizontal="left"/>
    </xf>
    <xf numFmtId="1" fontId="5" fillId="0" borderId="24" xfId="0" applyNumberFormat="1" applyFont="1" applyFill="1" applyBorder="1" applyAlignment="1">
      <alignment horizontal="left" vertical="top" wrapText="1"/>
    </xf>
    <xf numFmtId="1" fontId="5" fillId="0" borderId="51" xfId="0" applyNumberFormat="1" applyFont="1" applyFill="1" applyBorder="1" applyAlignment="1">
      <alignment horizontal="left" vertical="top" wrapText="1"/>
    </xf>
    <xf numFmtId="2" fontId="78" fillId="0" borderId="40" xfId="0" applyNumberFormat="1" applyFont="1" applyBorder="1" applyAlignment="1">
      <alignment horizontal="left"/>
    </xf>
    <xf numFmtId="2" fontId="78" fillId="0" borderId="41" xfId="0" applyNumberFormat="1" applyFont="1" applyBorder="1" applyAlignment="1">
      <alignment horizontal="left"/>
    </xf>
    <xf numFmtId="2" fontId="77" fillId="0" borderId="41" xfId="0" applyNumberFormat="1" applyFont="1" applyBorder="1" applyAlignment="1">
      <alignment horizontal="left"/>
    </xf>
    <xf numFmtId="2" fontId="77" fillId="0" borderId="42" xfId="0" applyNumberFormat="1" applyFont="1" applyBorder="1" applyAlignment="1">
      <alignment horizontal="left"/>
    </xf>
    <xf numFmtId="2" fontId="77" fillId="0" borderId="10" xfId="42" applyNumberFormat="1" applyFont="1" applyBorder="1" applyAlignment="1">
      <alignment horizontal="left"/>
    </xf>
    <xf numFmtId="2" fontId="77" fillId="0" borderId="21" xfId="42" applyNumberFormat="1" applyFont="1" applyBorder="1" applyAlignment="1">
      <alignment horizontal="left"/>
    </xf>
    <xf numFmtId="2" fontId="78" fillId="0" borderId="16" xfId="0" applyNumberFormat="1" applyFont="1" applyBorder="1" applyAlignment="1">
      <alignment horizontal="left" vertical="center"/>
    </xf>
    <xf numFmtId="2" fontId="78" fillId="0" borderId="18" xfId="0" applyNumberFormat="1" applyFont="1" applyBorder="1" applyAlignment="1">
      <alignment horizontal="left" vertical="center"/>
    </xf>
    <xf numFmtId="0" fontId="78" fillId="0" borderId="16" xfId="0" applyFont="1" applyBorder="1" applyAlignment="1">
      <alignment horizontal="left" vertical="center"/>
    </xf>
    <xf numFmtId="0" fontId="78" fillId="0" borderId="14" xfId="0" applyFont="1" applyBorder="1" applyAlignment="1">
      <alignment horizontal="left" vertical="center"/>
    </xf>
    <xf numFmtId="0" fontId="78" fillId="0" borderId="18" xfId="0" applyFont="1" applyBorder="1" applyAlignment="1">
      <alignment horizontal="left" vertical="center"/>
    </xf>
    <xf numFmtId="0" fontId="78" fillId="0" borderId="38" xfId="0" applyFont="1" applyBorder="1" applyAlignment="1">
      <alignment horizontal="left" vertical="center"/>
    </xf>
    <xf numFmtId="0" fontId="78" fillId="0" borderId="17" xfId="0" applyFont="1" applyBorder="1" applyAlignment="1">
      <alignment horizontal="left" vertical="center"/>
    </xf>
    <xf numFmtId="1" fontId="77" fillId="0" borderId="15" xfId="0" applyNumberFormat="1" applyFont="1" applyBorder="1" applyAlignment="1">
      <alignment horizontal="left"/>
    </xf>
    <xf numFmtId="2" fontId="77" fillId="0" borderId="10" xfId="0" applyNumberFormat="1" applyFont="1" applyBorder="1" applyAlignment="1">
      <alignment horizontal="left" vertical="center"/>
    </xf>
    <xf numFmtId="2" fontId="80" fillId="0" borderId="44" xfId="0" applyNumberFormat="1" applyFont="1" applyFill="1" applyBorder="1" applyAlignment="1">
      <alignment horizontal="left" vertical="center" wrapText="1"/>
    </xf>
    <xf numFmtId="2" fontId="77" fillId="0" borderId="52" xfId="0" applyNumberFormat="1" applyFont="1" applyBorder="1" applyAlignment="1">
      <alignment horizontal="left"/>
    </xf>
    <xf numFmtId="2" fontId="77" fillId="0" borderId="40" xfId="0" applyNumberFormat="1" applyFont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78" fillId="0" borderId="16" xfId="0" applyFont="1" applyBorder="1" applyAlignment="1">
      <alignment horizontal="left"/>
    </xf>
    <xf numFmtId="0" fontId="80" fillId="0" borderId="23" xfId="0" applyFont="1" applyBorder="1" applyAlignment="1">
      <alignment horizontal="left"/>
    </xf>
    <xf numFmtId="1" fontId="78" fillId="0" borderId="16" xfId="0" applyNumberFormat="1" applyFont="1" applyBorder="1" applyAlignment="1">
      <alignment horizontal="left"/>
    </xf>
    <xf numFmtId="1" fontId="77" fillId="0" borderId="16" xfId="42" applyNumberFormat="1" applyFont="1" applyBorder="1" applyAlignment="1">
      <alignment horizontal="left"/>
    </xf>
    <xf numFmtId="2" fontId="77" fillId="0" borderId="40" xfId="0" applyNumberFormat="1" applyFont="1" applyBorder="1" applyAlignment="1">
      <alignment horizontal="left" wrapText="1"/>
    </xf>
    <xf numFmtId="2" fontId="77" fillId="0" borderId="10" xfId="0" applyNumberFormat="1" applyFont="1" applyBorder="1" applyAlignment="1">
      <alignment horizontal="left" wrapText="1"/>
    </xf>
    <xf numFmtId="1" fontId="85" fillId="0" borderId="23" xfId="0" applyNumberFormat="1" applyFont="1" applyBorder="1" applyAlignment="1">
      <alignment horizontal="left"/>
    </xf>
    <xf numFmtId="0" fontId="78" fillId="0" borderId="11" xfId="0" applyFont="1" applyBorder="1" applyAlignment="1">
      <alignment horizontal="left"/>
    </xf>
    <xf numFmtId="0" fontId="78" fillId="0" borderId="12" xfId="0" applyFont="1" applyBorder="1" applyAlignment="1">
      <alignment horizontal="left"/>
    </xf>
    <xf numFmtId="0" fontId="78" fillId="0" borderId="14" xfId="0" applyFont="1" applyBorder="1" applyAlignment="1">
      <alignment horizontal="left"/>
    </xf>
    <xf numFmtId="0" fontId="81" fillId="0" borderId="15" xfId="0" applyFont="1" applyBorder="1" applyAlignment="1">
      <alignment horizontal="left"/>
    </xf>
    <xf numFmtId="2" fontId="77" fillId="0" borderId="17" xfId="0" applyNumberFormat="1" applyFont="1" applyBorder="1" applyAlignment="1">
      <alignment horizontal="left" vertical="center"/>
    </xf>
    <xf numFmtId="2" fontId="77" fillId="0" borderId="14" xfId="0" applyNumberFormat="1" applyFont="1" applyBorder="1" applyAlignment="1">
      <alignment horizontal="left" vertical="center"/>
    </xf>
    <xf numFmtId="2" fontId="82" fillId="0" borderId="16" xfId="0" applyNumberFormat="1" applyFont="1" applyBorder="1" applyAlignment="1">
      <alignment horizontal="left"/>
    </xf>
    <xf numFmtId="2" fontId="82" fillId="0" borderId="14" xfId="0" applyNumberFormat="1" applyFont="1" applyBorder="1" applyAlignment="1">
      <alignment horizontal="left"/>
    </xf>
    <xf numFmtId="2" fontId="82" fillId="0" borderId="38" xfId="0" applyNumberFormat="1" applyFont="1" applyBorder="1" applyAlignment="1">
      <alignment horizontal="left"/>
    </xf>
    <xf numFmtId="2" fontId="82" fillId="0" borderId="17" xfId="0" applyNumberFormat="1" applyFont="1" applyBorder="1" applyAlignment="1">
      <alignment horizontal="left"/>
    </xf>
    <xf numFmtId="2" fontId="77" fillId="0" borderId="16" xfId="0" applyNumberFormat="1" applyFont="1" applyBorder="1" applyAlignment="1">
      <alignment horizontal="left"/>
    </xf>
    <xf numFmtId="172" fontId="83" fillId="0" borderId="14" xfId="0" applyNumberFormat="1" applyFont="1" applyBorder="1" applyAlignment="1">
      <alignment horizontal="left"/>
    </xf>
    <xf numFmtId="2" fontId="82" fillId="0" borderId="16" xfId="0" applyNumberFormat="1" applyFont="1" applyFill="1" applyBorder="1" applyAlignment="1">
      <alignment horizontal="left"/>
    </xf>
    <xf numFmtId="2" fontId="82" fillId="0" borderId="14" xfId="0" applyNumberFormat="1" applyFont="1" applyFill="1" applyBorder="1" applyAlignment="1">
      <alignment horizontal="left"/>
    </xf>
    <xf numFmtId="2" fontId="82" fillId="0" borderId="14" xfId="42" applyNumberFormat="1" applyFont="1" applyBorder="1" applyAlignment="1">
      <alignment horizontal="left"/>
    </xf>
    <xf numFmtId="2" fontId="84" fillId="0" borderId="17" xfId="0" applyNumberFormat="1" applyFont="1" applyBorder="1" applyAlignment="1">
      <alignment horizontal="left"/>
    </xf>
    <xf numFmtId="2" fontId="82" fillId="0" borderId="16" xfId="42" applyNumberFormat="1" applyFont="1" applyBorder="1" applyAlignment="1">
      <alignment horizontal="left"/>
    </xf>
    <xf numFmtId="2" fontId="84" fillId="0" borderId="16" xfId="0" applyNumberFormat="1" applyFont="1" applyBorder="1" applyAlignment="1">
      <alignment horizontal="left"/>
    </xf>
    <xf numFmtId="2" fontId="84" fillId="0" borderId="37" xfId="0" applyNumberFormat="1" applyFont="1" applyBorder="1" applyAlignment="1">
      <alignment horizontal="left"/>
    </xf>
    <xf numFmtId="0" fontId="87" fillId="0" borderId="53" xfId="0" applyFont="1" applyBorder="1" applyAlignment="1">
      <alignment horizontal="left"/>
    </xf>
    <xf numFmtId="0" fontId="87" fillId="0" borderId="54" xfId="0" applyFont="1" applyBorder="1" applyAlignment="1">
      <alignment horizontal="left"/>
    </xf>
    <xf numFmtId="1" fontId="86" fillId="0" borderId="55" xfId="0" applyNumberFormat="1" applyFont="1" applyBorder="1" applyAlignment="1">
      <alignment horizontal="left"/>
    </xf>
    <xf numFmtId="1" fontId="86" fillId="0" borderId="53" xfId="0" applyNumberFormat="1" applyFont="1" applyBorder="1" applyAlignment="1">
      <alignment horizontal="left"/>
    </xf>
    <xf numFmtId="0" fontId="87" fillId="0" borderId="24" xfId="0" applyFont="1" applyBorder="1" applyAlignment="1">
      <alignment horizontal="left"/>
    </xf>
    <xf numFmtId="0" fontId="83" fillId="0" borderId="56" xfId="0" applyFont="1" applyBorder="1" applyAlignment="1">
      <alignment horizontal="left"/>
    </xf>
    <xf numFmtId="0" fontId="86" fillId="0" borderId="24" xfId="0" applyFont="1" applyBorder="1" applyAlignment="1">
      <alignment horizontal="left"/>
    </xf>
    <xf numFmtId="1" fontId="83" fillId="0" borderId="38" xfId="0" applyNumberFormat="1" applyFont="1" applyBorder="1" applyAlignment="1">
      <alignment horizontal="left"/>
    </xf>
    <xf numFmtId="0" fontId="83" fillId="0" borderId="37" xfId="0" applyFont="1" applyBorder="1" applyAlignment="1">
      <alignment horizontal="left"/>
    </xf>
    <xf numFmtId="0" fontId="86" fillId="0" borderId="19" xfId="0" applyFont="1" applyBorder="1" applyAlignment="1">
      <alignment horizontal="left" vertical="center"/>
    </xf>
    <xf numFmtId="0" fontId="87" fillId="0" borderId="18" xfId="0" applyFont="1" applyBorder="1" applyAlignment="1">
      <alignment horizontal="left"/>
    </xf>
    <xf numFmtId="1" fontId="87" fillId="0" borderId="10" xfId="0" applyNumberFormat="1" applyFont="1" applyBorder="1" applyAlignment="1">
      <alignment horizontal="left" vertical="center"/>
    </xf>
    <xf numFmtId="2" fontId="87" fillId="0" borderId="13" xfId="0" applyNumberFormat="1" applyFont="1" applyFill="1" applyBorder="1" applyAlignment="1">
      <alignment horizontal="left"/>
    </xf>
    <xf numFmtId="2" fontId="87" fillId="0" borderId="13" xfId="42" applyNumberFormat="1" applyFont="1" applyBorder="1" applyAlignment="1">
      <alignment horizontal="left"/>
    </xf>
    <xf numFmtId="1" fontId="87" fillId="0" borderId="13" xfId="42" applyNumberFormat="1" applyFont="1" applyBorder="1" applyAlignment="1">
      <alignment horizontal="left"/>
    </xf>
    <xf numFmtId="0" fontId="89" fillId="0" borderId="23" xfId="0" applyFont="1" applyBorder="1" applyAlignment="1">
      <alignment horizontal="left"/>
    </xf>
    <xf numFmtId="0" fontId="90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2" fontId="89" fillId="0" borderId="10" xfId="0" applyNumberFormat="1" applyFont="1" applyBorder="1" applyAlignment="1">
      <alignment horizontal="left" vertical="center"/>
    </xf>
    <xf numFmtId="2" fontId="89" fillId="0" borderId="13" xfId="0" applyNumberFormat="1" applyFont="1" applyBorder="1" applyAlignment="1">
      <alignment horizontal="left" vertical="center"/>
    </xf>
    <xf numFmtId="2" fontId="89" fillId="0" borderId="25" xfId="0" applyNumberFormat="1" applyFont="1" applyBorder="1" applyAlignment="1">
      <alignment horizontal="left" vertical="center"/>
    </xf>
    <xf numFmtId="2" fontId="89" fillId="0" borderId="27" xfId="0" applyNumberFormat="1" applyFont="1" applyBorder="1" applyAlignment="1">
      <alignment horizontal="left" vertical="center"/>
    </xf>
    <xf numFmtId="2" fontId="89" fillId="0" borderId="11" xfId="0" applyNumberFormat="1" applyFont="1" applyBorder="1" applyAlignment="1">
      <alignment horizontal="left" vertical="center"/>
    </xf>
    <xf numFmtId="2" fontId="89" fillId="0" borderId="12" xfId="0" applyNumberFormat="1" applyFont="1" applyBorder="1" applyAlignment="1">
      <alignment horizontal="left" vertical="center"/>
    </xf>
    <xf numFmtId="2" fontId="89" fillId="0" borderId="16" xfId="0" applyNumberFormat="1" applyFont="1" applyBorder="1" applyAlignment="1">
      <alignment horizontal="left" vertical="center"/>
    </xf>
    <xf numFmtId="2" fontId="89" fillId="0" borderId="10" xfId="42" applyNumberFormat="1" applyFont="1" applyBorder="1" applyAlignment="1">
      <alignment horizontal="left"/>
    </xf>
    <xf numFmtId="0" fontId="89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0" fontId="91" fillId="0" borderId="50" xfId="0" applyFont="1" applyBorder="1" applyAlignment="1">
      <alignment horizontal="left"/>
    </xf>
    <xf numFmtId="2" fontId="89" fillId="0" borderId="49" xfId="0" applyNumberFormat="1" applyFont="1" applyBorder="1" applyAlignment="1">
      <alignment horizontal="left" vertical="center"/>
    </xf>
    <xf numFmtId="2" fontId="89" fillId="0" borderId="52" xfId="0" applyNumberFormat="1" applyFont="1" applyBorder="1" applyAlignment="1">
      <alignment horizontal="left" vertical="center"/>
    </xf>
    <xf numFmtId="2" fontId="89" fillId="0" borderId="46" xfId="0" applyNumberFormat="1" applyFont="1" applyBorder="1" applyAlignment="1">
      <alignment horizontal="left" vertical="center"/>
    </xf>
    <xf numFmtId="2" fontId="89" fillId="0" borderId="57" xfId="0" applyNumberFormat="1" applyFont="1" applyBorder="1" applyAlignment="1">
      <alignment horizontal="left" vertical="center"/>
    </xf>
    <xf numFmtId="2" fontId="93" fillId="0" borderId="49" xfId="0" applyNumberFormat="1" applyFont="1" applyBorder="1" applyAlignment="1">
      <alignment horizontal="left"/>
    </xf>
    <xf numFmtId="2" fontId="93" fillId="0" borderId="46" xfId="42" applyNumberFormat="1" applyFont="1" applyBorder="1" applyAlignment="1">
      <alignment horizontal="left"/>
    </xf>
    <xf numFmtId="2" fontId="93" fillId="0" borderId="46" xfId="0" applyNumberFormat="1" applyFont="1" applyBorder="1" applyAlignment="1">
      <alignment horizontal="left"/>
    </xf>
    <xf numFmtId="2" fontId="93" fillId="0" borderId="50" xfId="0" applyNumberFormat="1" applyFont="1" applyBorder="1" applyAlignment="1">
      <alignment horizontal="left"/>
    </xf>
    <xf numFmtId="0" fontId="94" fillId="0" borderId="0" xfId="0" applyFont="1" applyAlignment="1">
      <alignment horizontal="left"/>
    </xf>
    <xf numFmtId="0" fontId="91" fillId="0" borderId="58" xfId="0" applyFont="1" applyBorder="1" applyAlignment="1">
      <alignment horizontal="left"/>
    </xf>
    <xf numFmtId="2" fontId="89" fillId="0" borderId="59" xfId="0" applyNumberFormat="1" applyFont="1" applyBorder="1" applyAlignment="1">
      <alignment horizontal="left" vertical="center"/>
    </xf>
    <xf numFmtId="2" fontId="89" fillId="0" borderId="60" xfId="0" applyNumberFormat="1" applyFont="1" applyBorder="1" applyAlignment="1">
      <alignment horizontal="left" vertical="center"/>
    </xf>
    <xf numFmtId="2" fontId="89" fillId="0" borderId="61" xfId="0" applyNumberFormat="1" applyFont="1" applyBorder="1" applyAlignment="1">
      <alignment horizontal="left" vertical="center"/>
    </xf>
    <xf numFmtId="2" fontId="89" fillId="0" borderId="62" xfId="0" applyNumberFormat="1" applyFont="1" applyBorder="1" applyAlignment="1">
      <alignment horizontal="left" vertical="center"/>
    </xf>
    <xf numFmtId="2" fontId="93" fillId="0" borderId="59" xfId="0" applyNumberFormat="1" applyFont="1" applyBorder="1" applyAlignment="1">
      <alignment horizontal="left"/>
    </xf>
    <xf numFmtId="2" fontId="93" fillId="0" borderId="61" xfId="0" applyNumberFormat="1" applyFont="1" applyBorder="1" applyAlignment="1">
      <alignment horizontal="left"/>
    </xf>
    <xf numFmtId="2" fontId="93" fillId="0" borderId="58" xfId="0" applyNumberFormat="1" applyFont="1" applyBorder="1" applyAlignment="1">
      <alignment horizontal="left"/>
    </xf>
    <xf numFmtId="0" fontId="77" fillId="0" borderId="0" xfId="0" applyFont="1" applyAlignment="1">
      <alignment/>
    </xf>
    <xf numFmtId="0" fontId="80" fillId="0" borderId="24" xfId="0" applyFont="1" applyBorder="1" applyAlignment="1">
      <alignment horizontal="left"/>
    </xf>
    <xf numFmtId="0" fontId="81" fillId="0" borderId="63" xfId="0" applyFont="1" applyBorder="1" applyAlignment="1">
      <alignment/>
    </xf>
    <xf numFmtId="0" fontId="81" fillId="0" borderId="25" xfId="0" applyFont="1" applyBorder="1" applyAlignment="1">
      <alignment/>
    </xf>
    <xf numFmtId="0" fontId="81" fillId="0" borderId="42" xfId="0" applyFont="1" applyBorder="1" applyAlignment="1">
      <alignment/>
    </xf>
    <xf numFmtId="0" fontId="81" fillId="0" borderId="12" xfId="0" applyFont="1" applyBorder="1" applyAlignment="1">
      <alignment/>
    </xf>
    <xf numFmtId="0" fontId="80" fillId="0" borderId="44" xfId="0" applyFont="1" applyBorder="1" applyAlignment="1">
      <alignment horizontal="left"/>
    </xf>
    <xf numFmtId="0" fontId="81" fillId="0" borderId="64" xfId="0" applyFont="1" applyBorder="1" applyAlignment="1">
      <alignment/>
    </xf>
    <xf numFmtId="0" fontId="81" fillId="0" borderId="27" xfId="0" applyFont="1" applyBorder="1" applyAlignment="1">
      <alignment/>
    </xf>
    <xf numFmtId="0" fontId="81" fillId="0" borderId="44" xfId="0" applyFont="1" applyBorder="1" applyAlignment="1">
      <alignment/>
    </xf>
    <xf numFmtId="0" fontId="81" fillId="0" borderId="24" xfId="0" applyFont="1" applyBorder="1" applyAlignment="1">
      <alignment/>
    </xf>
    <xf numFmtId="0" fontId="81" fillId="0" borderId="65" xfId="0" applyFont="1" applyBorder="1" applyAlignment="1">
      <alignment/>
    </xf>
    <xf numFmtId="0" fontId="81" fillId="0" borderId="13" xfId="0" applyFont="1" applyBorder="1" applyAlignment="1">
      <alignment/>
    </xf>
    <xf numFmtId="0" fontId="82" fillId="0" borderId="0" xfId="0" applyFont="1" applyAlignment="1">
      <alignment/>
    </xf>
    <xf numFmtId="0" fontId="95" fillId="0" borderId="0" xfId="0" applyFont="1" applyAlignment="1">
      <alignment horizontal="left"/>
    </xf>
    <xf numFmtId="2" fontId="82" fillId="0" borderId="24" xfId="0" applyNumberFormat="1" applyFont="1" applyBorder="1" applyAlignment="1">
      <alignment vertical="center"/>
    </xf>
    <xf numFmtId="2" fontId="84" fillId="0" borderId="24" xfId="0" applyNumberFormat="1" applyFont="1" applyBorder="1" applyAlignment="1">
      <alignment vertical="center"/>
    </xf>
    <xf numFmtId="2" fontId="82" fillId="0" borderId="25" xfId="0" applyNumberFormat="1" applyFont="1" applyBorder="1" applyAlignment="1">
      <alignment horizontal="right"/>
    </xf>
    <xf numFmtId="2" fontId="84" fillId="0" borderId="25" xfId="0" applyNumberFormat="1" applyFont="1" applyBorder="1" applyAlignment="1">
      <alignment horizontal="right"/>
    </xf>
    <xf numFmtId="0" fontId="88" fillId="0" borderId="56" xfId="0" applyFont="1" applyBorder="1" applyAlignment="1">
      <alignment horizontal="left"/>
    </xf>
    <xf numFmtId="0" fontId="88" fillId="0" borderId="66" xfId="0" applyFont="1" applyBorder="1" applyAlignment="1">
      <alignment horizontal="left"/>
    </xf>
    <xf numFmtId="0" fontId="84" fillId="0" borderId="19" xfId="0" applyFont="1" applyBorder="1" applyAlignment="1">
      <alignment horizontal="center" vertical="center"/>
    </xf>
    <xf numFmtId="0" fontId="81" fillId="0" borderId="66" xfId="0" applyFont="1" applyBorder="1" applyAlignment="1">
      <alignment/>
    </xf>
    <xf numFmtId="0" fontId="81" fillId="0" borderId="56" xfId="0" applyFont="1" applyBorder="1" applyAlignment="1">
      <alignment/>
    </xf>
    <xf numFmtId="0" fontId="84" fillId="0" borderId="37" xfId="0" applyFont="1" applyBorder="1" applyAlignment="1">
      <alignment horizontal="center" vertical="center"/>
    </xf>
    <xf numFmtId="2" fontId="82" fillId="0" borderId="24" xfId="0" applyNumberFormat="1" applyFont="1" applyBorder="1" applyAlignment="1">
      <alignment horizontal="right"/>
    </xf>
    <xf numFmtId="2" fontId="84" fillId="0" borderId="24" xfId="0" applyNumberFormat="1" applyFont="1" applyBorder="1" applyAlignment="1">
      <alignment horizontal="right"/>
    </xf>
    <xf numFmtId="0" fontId="78" fillId="0" borderId="19" xfId="0" applyFont="1" applyBorder="1" applyAlignment="1">
      <alignment horizontal="center" vertical="center"/>
    </xf>
    <xf numFmtId="2" fontId="77" fillId="0" borderId="25" xfId="0" applyNumberFormat="1" applyFont="1" applyBorder="1" applyAlignment="1">
      <alignment horizontal="right"/>
    </xf>
    <xf numFmtId="2" fontId="78" fillId="0" borderId="25" xfId="0" applyNumberFormat="1" applyFont="1" applyBorder="1" applyAlignment="1">
      <alignment horizontal="right"/>
    </xf>
    <xf numFmtId="0" fontId="77" fillId="0" borderId="26" xfId="0" applyFont="1" applyBorder="1" applyAlignment="1">
      <alignment horizontal="left"/>
    </xf>
    <xf numFmtId="2" fontId="77" fillId="0" borderId="25" xfId="0" applyNumberFormat="1" applyFont="1" applyBorder="1" applyAlignment="1">
      <alignment horizontal="left"/>
    </xf>
    <xf numFmtId="2" fontId="78" fillId="0" borderId="25" xfId="0" applyNumberFormat="1" applyFont="1" applyBorder="1" applyAlignment="1">
      <alignment horizontal="left"/>
    </xf>
    <xf numFmtId="2" fontId="87" fillId="0" borderId="25" xfId="0" applyNumberFormat="1" applyFont="1" applyBorder="1" applyAlignment="1">
      <alignment horizontal="left"/>
    </xf>
    <xf numFmtId="2" fontId="82" fillId="0" borderId="25" xfId="44" applyNumberFormat="1" applyFont="1" applyBorder="1" applyAlignment="1">
      <alignment horizontal="right"/>
    </xf>
    <xf numFmtId="2" fontId="82" fillId="0" borderId="25" xfId="42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82" fillId="0" borderId="25" xfId="0" applyNumberFormat="1" applyFont="1" applyBorder="1" applyAlignment="1">
      <alignment horizontal="right" wrapText="1"/>
    </xf>
    <xf numFmtId="1" fontId="96" fillId="0" borderId="0" xfId="0" applyNumberFormat="1" applyFont="1" applyAlignment="1">
      <alignment horizontal="left"/>
    </xf>
    <xf numFmtId="0" fontId="97" fillId="0" borderId="0" xfId="0" applyFont="1" applyBorder="1" applyAlignment="1">
      <alignment horizontal="left"/>
    </xf>
    <xf numFmtId="1" fontId="78" fillId="0" borderId="17" xfId="0" applyNumberFormat="1" applyFont="1" applyBorder="1" applyAlignment="1">
      <alignment horizontal="left" vertical="center"/>
    </xf>
    <xf numFmtId="1" fontId="78" fillId="0" borderId="14" xfId="0" applyNumberFormat="1" applyFont="1" applyBorder="1" applyAlignment="1">
      <alignment horizontal="left" vertical="center"/>
    </xf>
    <xf numFmtId="1" fontId="78" fillId="0" borderId="18" xfId="0" applyNumberFormat="1" applyFont="1" applyBorder="1" applyAlignment="1">
      <alignment horizontal="left" vertical="center"/>
    </xf>
    <xf numFmtId="1" fontId="78" fillId="0" borderId="16" xfId="0" applyNumberFormat="1" applyFont="1" applyBorder="1" applyAlignment="1">
      <alignment horizontal="left" vertical="center"/>
    </xf>
    <xf numFmtId="1" fontId="78" fillId="0" borderId="37" xfId="0" applyNumberFormat="1" applyFont="1" applyBorder="1" applyAlignment="1">
      <alignment horizontal="left" vertical="center"/>
    </xf>
    <xf numFmtId="0" fontId="97" fillId="0" borderId="67" xfId="0" applyFont="1" applyBorder="1" applyAlignment="1">
      <alignment horizontal="left"/>
    </xf>
    <xf numFmtId="0" fontId="97" fillId="0" borderId="60" xfId="0" applyFont="1" applyBorder="1" applyAlignment="1">
      <alignment horizontal="left"/>
    </xf>
    <xf numFmtId="0" fontId="97" fillId="0" borderId="62" xfId="0" applyFont="1" applyBorder="1" applyAlignment="1">
      <alignment horizontal="left"/>
    </xf>
    <xf numFmtId="0" fontId="97" fillId="0" borderId="33" xfId="0" applyFont="1" applyBorder="1" applyAlignment="1">
      <alignment horizontal="left"/>
    </xf>
    <xf numFmtId="0" fontId="98" fillId="0" borderId="0" xfId="0" applyFont="1" applyAlignment="1">
      <alignment/>
    </xf>
    <xf numFmtId="0" fontId="97" fillId="0" borderId="31" xfId="0" applyFont="1" applyBorder="1" applyAlignment="1">
      <alignment horizontal="left"/>
    </xf>
    <xf numFmtId="0" fontId="99" fillId="0" borderId="0" xfId="0" applyFont="1" applyAlignment="1">
      <alignment/>
    </xf>
    <xf numFmtId="0" fontId="100" fillId="0" borderId="51" xfId="0" applyFont="1" applyBorder="1" applyAlignment="1">
      <alignment horizontal="left"/>
    </xf>
    <xf numFmtId="1" fontId="100" fillId="0" borderId="21" xfId="0" applyNumberFormat="1" applyFont="1" applyBorder="1" applyAlignment="1">
      <alignment horizontal="left" vertical="center"/>
    </xf>
    <xf numFmtId="1" fontId="100" fillId="0" borderId="39" xfId="0" applyNumberFormat="1" applyFont="1" applyBorder="1" applyAlignment="1">
      <alignment horizontal="left" vertical="center"/>
    </xf>
    <xf numFmtId="1" fontId="100" fillId="0" borderId="68" xfId="0" applyNumberFormat="1" applyFont="1" applyBorder="1" applyAlignment="1">
      <alignment horizontal="left" vertical="center"/>
    </xf>
    <xf numFmtId="1" fontId="100" fillId="0" borderId="69" xfId="0" applyNumberFormat="1" applyFont="1" applyBorder="1" applyAlignment="1">
      <alignment horizontal="left" vertical="center"/>
    </xf>
    <xf numFmtId="1" fontId="100" fillId="0" borderId="70" xfId="0" applyNumberFormat="1" applyFont="1" applyBorder="1" applyAlignment="1">
      <alignment horizontal="left" vertical="center"/>
    </xf>
    <xf numFmtId="1" fontId="100" fillId="0" borderId="68" xfId="0" applyNumberFormat="1" applyFont="1" applyBorder="1" applyAlignment="1">
      <alignment horizontal="left"/>
    </xf>
    <xf numFmtId="1" fontId="100" fillId="0" borderId="21" xfId="0" applyNumberFormat="1" applyFont="1" applyBorder="1" applyAlignment="1">
      <alignment horizontal="left"/>
    </xf>
    <xf numFmtId="1" fontId="100" fillId="0" borderId="51" xfId="0" applyNumberFormat="1" applyFont="1" applyBorder="1" applyAlignment="1">
      <alignment horizontal="left"/>
    </xf>
    <xf numFmtId="2" fontId="100" fillId="0" borderId="68" xfId="0" applyNumberFormat="1" applyFont="1" applyBorder="1" applyAlignment="1">
      <alignment horizontal="left"/>
    </xf>
    <xf numFmtId="1" fontId="100" fillId="0" borderId="68" xfId="0" applyNumberFormat="1" applyFont="1" applyFill="1" applyBorder="1" applyAlignment="1">
      <alignment horizontal="left"/>
    </xf>
    <xf numFmtId="1" fontId="100" fillId="0" borderId="68" xfId="42" applyNumberFormat="1" applyFont="1" applyBorder="1" applyAlignment="1">
      <alignment horizontal="left"/>
    </xf>
    <xf numFmtId="1" fontId="100" fillId="0" borderId="21" xfId="42" applyNumberFormat="1" applyFont="1" applyBorder="1" applyAlignment="1">
      <alignment horizontal="left"/>
    </xf>
    <xf numFmtId="1" fontId="100" fillId="0" borderId="20" xfId="42" applyNumberFormat="1" applyFont="1" applyBorder="1" applyAlignment="1">
      <alignment horizontal="left"/>
    </xf>
    <xf numFmtId="1" fontId="100" fillId="0" borderId="39" xfId="42" applyNumberFormat="1" applyFont="1" applyBorder="1" applyAlignment="1">
      <alignment horizontal="left"/>
    </xf>
    <xf numFmtId="0" fontId="100" fillId="0" borderId="0" xfId="0" applyFont="1" applyAlignment="1">
      <alignment horizontal="left"/>
    </xf>
    <xf numFmtId="1" fontId="101" fillId="0" borderId="0" xfId="0" applyNumberFormat="1" applyFont="1" applyAlignment="1">
      <alignment/>
    </xf>
    <xf numFmtId="1" fontId="87" fillId="0" borderId="10" xfId="0" applyNumberFormat="1" applyFont="1" applyBorder="1" applyAlignment="1">
      <alignment horizontal="left" wrapText="1"/>
    </xf>
    <xf numFmtId="1" fontId="87" fillId="0" borderId="10" xfId="0" applyNumberFormat="1" applyFont="1" applyFill="1" applyBorder="1" applyAlignment="1">
      <alignment horizontal="left"/>
    </xf>
    <xf numFmtId="1" fontId="86" fillId="0" borderId="56" xfId="0" applyNumberFormat="1" applyFont="1" applyBorder="1" applyAlignment="1">
      <alignment horizontal="left" vertical="center"/>
    </xf>
    <xf numFmtId="1" fontId="88" fillId="0" borderId="10" xfId="0" applyNumberFormat="1" applyFont="1" applyBorder="1" applyAlignment="1">
      <alignment horizontal="left"/>
    </xf>
    <xf numFmtId="1" fontId="86" fillId="0" borderId="10" xfId="42" applyNumberFormat="1" applyFont="1" applyBorder="1" applyAlignment="1">
      <alignment horizontal="left"/>
    </xf>
    <xf numFmtId="1" fontId="86" fillId="0" borderId="0" xfId="0" applyNumberFormat="1" applyFont="1" applyAlignment="1">
      <alignment horizontal="left"/>
    </xf>
    <xf numFmtId="1" fontId="86" fillId="0" borderId="24" xfId="0" applyNumberFormat="1" applyFont="1" applyBorder="1" applyAlignment="1">
      <alignment horizontal="left" vertical="center"/>
    </xf>
    <xf numFmtId="1" fontId="87" fillId="0" borderId="28" xfId="0" applyNumberFormat="1" applyFont="1" applyBorder="1" applyAlignment="1">
      <alignment horizontal="left" vertical="center"/>
    </xf>
    <xf numFmtId="1" fontId="87" fillId="0" borderId="28" xfId="0" applyNumberFormat="1" applyFont="1" applyBorder="1" applyAlignment="1">
      <alignment horizontal="left" wrapText="1"/>
    </xf>
    <xf numFmtId="1" fontId="83" fillId="0" borderId="28" xfId="0" applyNumberFormat="1" applyFont="1" applyBorder="1" applyAlignment="1">
      <alignment horizontal="left"/>
    </xf>
    <xf numFmtId="1" fontId="83" fillId="0" borderId="30" xfId="0" applyNumberFormat="1" applyFont="1" applyBorder="1" applyAlignment="1">
      <alignment horizontal="left"/>
    </xf>
    <xf numFmtId="1" fontId="83" fillId="0" borderId="45" xfId="0" applyNumberFormat="1" applyFont="1" applyBorder="1" applyAlignment="1">
      <alignment horizontal="left"/>
    </xf>
    <xf numFmtId="1" fontId="87" fillId="0" borderId="28" xfId="0" applyNumberFormat="1" applyFont="1" applyFill="1" applyBorder="1" applyAlignment="1">
      <alignment horizontal="left"/>
    </xf>
    <xf numFmtId="1" fontId="100" fillId="0" borderId="0" xfId="0" applyNumberFormat="1" applyFont="1" applyAlignment="1">
      <alignment horizontal="left"/>
    </xf>
    <xf numFmtId="1" fontId="86" fillId="0" borderId="36" xfId="0" applyNumberFormat="1" applyFont="1" applyBorder="1" applyAlignment="1">
      <alignment horizontal="left"/>
    </xf>
    <xf numFmtId="1" fontId="100" fillId="0" borderId="61" xfId="0" applyNumberFormat="1" applyFont="1" applyBorder="1" applyAlignment="1">
      <alignment horizontal="left" vertical="center"/>
    </xf>
    <xf numFmtId="1" fontId="100" fillId="0" borderId="67" xfId="0" applyNumberFormat="1" applyFont="1" applyBorder="1" applyAlignment="1">
      <alignment horizontal="left" vertical="center"/>
    </xf>
    <xf numFmtId="1" fontId="100" fillId="0" borderId="59" xfId="0" applyNumberFormat="1" applyFont="1" applyBorder="1" applyAlignment="1">
      <alignment horizontal="left" vertical="center"/>
    </xf>
    <xf numFmtId="1" fontId="100" fillId="0" borderId="71" xfId="0" applyNumberFormat="1" applyFont="1" applyBorder="1" applyAlignment="1">
      <alignment horizontal="left"/>
    </xf>
    <xf numFmtId="1" fontId="100" fillId="0" borderId="61" xfId="0" applyNumberFormat="1" applyFont="1" applyBorder="1" applyAlignment="1">
      <alignment horizontal="left"/>
    </xf>
    <xf numFmtId="1" fontId="100" fillId="0" borderId="59" xfId="0" applyNumberFormat="1" applyFont="1" applyBorder="1" applyAlignment="1">
      <alignment horizontal="left"/>
    </xf>
    <xf numFmtId="1" fontId="100" fillId="0" borderId="61" xfId="42" applyNumberFormat="1" applyFont="1" applyBorder="1" applyAlignment="1">
      <alignment horizontal="left"/>
    </xf>
    <xf numFmtId="1" fontId="100" fillId="0" borderId="59" xfId="42" applyNumberFormat="1" applyFont="1" applyBorder="1" applyAlignment="1">
      <alignment horizontal="left"/>
    </xf>
    <xf numFmtId="1" fontId="100" fillId="0" borderId="58" xfId="0" applyNumberFormat="1" applyFont="1" applyBorder="1" applyAlignment="1">
      <alignment horizontal="left"/>
    </xf>
    <xf numFmtId="1" fontId="97" fillId="0" borderId="67" xfId="0" applyNumberFormat="1" applyFont="1" applyBorder="1" applyAlignment="1">
      <alignment horizontal="left"/>
    </xf>
    <xf numFmtId="1" fontId="101" fillId="0" borderId="0" xfId="0" applyNumberFormat="1" applyFont="1" applyAlignment="1">
      <alignment horizontal="left"/>
    </xf>
    <xf numFmtId="0" fontId="100" fillId="0" borderId="58" xfId="0" applyFont="1" applyBorder="1" applyAlignment="1">
      <alignment horizontal="left"/>
    </xf>
    <xf numFmtId="0" fontId="101" fillId="0" borderId="0" xfId="0" applyFont="1" applyAlignment="1">
      <alignment horizontal="left"/>
    </xf>
    <xf numFmtId="2" fontId="101" fillId="0" borderId="67" xfId="0" applyNumberFormat="1" applyFont="1" applyBorder="1" applyAlignment="1">
      <alignment horizontal="left"/>
    </xf>
    <xf numFmtId="2" fontId="101" fillId="0" borderId="60" xfId="0" applyNumberFormat="1" applyFont="1" applyBorder="1" applyAlignment="1">
      <alignment horizontal="left"/>
    </xf>
    <xf numFmtId="2" fontId="101" fillId="0" borderId="62" xfId="0" applyNumberFormat="1" applyFont="1" applyBorder="1" applyAlignment="1">
      <alignment horizontal="left"/>
    </xf>
    <xf numFmtId="1" fontId="101" fillId="0" borderId="62" xfId="0" applyNumberFormat="1" applyFont="1" applyBorder="1" applyAlignment="1">
      <alignment horizontal="left"/>
    </xf>
    <xf numFmtId="1" fontId="101" fillId="0" borderId="60" xfId="0" applyNumberFormat="1" applyFont="1" applyBorder="1" applyAlignment="1">
      <alignment horizontal="left"/>
    </xf>
    <xf numFmtId="1" fontId="101" fillId="0" borderId="67" xfId="0" applyNumberFormat="1" applyFont="1" applyBorder="1" applyAlignment="1">
      <alignment horizontal="left"/>
    </xf>
    <xf numFmtId="2" fontId="101" fillId="0" borderId="59" xfId="0" applyNumberFormat="1" applyFont="1" applyBorder="1" applyAlignment="1">
      <alignment horizontal="left"/>
    </xf>
    <xf numFmtId="2" fontId="101" fillId="0" borderId="71" xfId="0" applyNumberFormat="1" applyFont="1" applyBorder="1" applyAlignment="1">
      <alignment horizontal="left"/>
    </xf>
    <xf numFmtId="0" fontId="97" fillId="0" borderId="51" xfId="0" applyFont="1" applyBorder="1" applyAlignment="1">
      <alignment horizontal="left"/>
    </xf>
    <xf numFmtId="0" fontId="98" fillId="0" borderId="70" xfId="0" applyFont="1" applyBorder="1" applyAlignment="1">
      <alignment/>
    </xf>
    <xf numFmtId="0" fontId="96" fillId="0" borderId="70" xfId="0" applyFont="1" applyBorder="1" applyAlignment="1">
      <alignment horizontal="left"/>
    </xf>
    <xf numFmtId="0" fontId="96" fillId="0" borderId="39" xfId="0" applyFont="1" applyBorder="1" applyAlignment="1">
      <alignment horizontal="left"/>
    </xf>
    <xf numFmtId="0" fontId="96" fillId="0" borderId="0" xfId="0" applyFont="1" applyAlignment="1">
      <alignment horizontal="left"/>
    </xf>
    <xf numFmtId="0" fontId="80" fillId="0" borderId="56" xfId="0" applyFont="1" applyBorder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1" fontId="87" fillId="0" borderId="72" xfId="0" applyNumberFormat="1" applyFont="1" applyBorder="1" applyAlignment="1">
      <alignment horizontal="left"/>
    </xf>
    <xf numFmtId="1" fontId="87" fillId="0" borderId="46" xfId="0" applyNumberFormat="1" applyFont="1" applyBorder="1" applyAlignment="1">
      <alignment horizontal="left"/>
    </xf>
    <xf numFmtId="1" fontId="101" fillId="0" borderId="61" xfId="0" applyNumberFormat="1" applyFont="1" applyBorder="1" applyAlignment="1">
      <alignment horizontal="left"/>
    </xf>
    <xf numFmtId="1" fontId="101" fillId="0" borderId="72" xfId="0" applyNumberFormat="1" applyFont="1" applyBorder="1" applyAlignment="1">
      <alignment horizontal="left"/>
    </xf>
    <xf numFmtId="1" fontId="87" fillId="0" borderId="73" xfId="0" applyNumberFormat="1" applyFont="1" applyBorder="1" applyAlignment="1">
      <alignment horizontal="left"/>
    </xf>
    <xf numFmtId="1" fontId="87" fillId="0" borderId="53" xfId="0" applyNumberFormat="1" applyFont="1" applyBorder="1" applyAlignment="1">
      <alignment horizontal="left"/>
    </xf>
    <xf numFmtId="1" fontId="87" fillId="0" borderId="59" xfId="0" applyNumberFormat="1" applyFont="1" applyBorder="1" applyAlignment="1">
      <alignment horizontal="left"/>
    </xf>
    <xf numFmtId="1" fontId="101" fillId="0" borderId="59" xfId="0" applyNumberFormat="1" applyFont="1" applyBorder="1" applyAlignment="1">
      <alignment horizontal="left"/>
    </xf>
    <xf numFmtId="0" fontId="87" fillId="0" borderId="61" xfId="0" applyFont="1" applyBorder="1" applyAlignment="1">
      <alignment horizontal="left"/>
    </xf>
    <xf numFmtId="2" fontId="87" fillId="0" borderId="55" xfId="0" applyNumberFormat="1" applyFont="1" applyBorder="1" applyAlignment="1">
      <alignment horizontal="left"/>
    </xf>
    <xf numFmtId="2" fontId="101" fillId="0" borderId="34" xfId="0" applyNumberFormat="1" applyFont="1" applyBorder="1" applyAlignment="1">
      <alignment horizontal="left"/>
    </xf>
    <xf numFmtId="0" fontId="87" fillId="0" borderId="59" xfId="0" applyFont="1" applyBorder="1" applyAlignment="1">
      <alignment horizontal="left"/>
    </xf>
    <xf numFmtId="2" fontId="87" fillId="0" borderId="53" xfId="0" applyNumberFormat="1" applyFont="1" applyBorder="1" applyAlignment="1">
      <alignment horizontal="left"/>
    </xf>
    <xf numFmtId="2" fontId="101" fillId="0" borderId="35" xfId="0" applyNumberFormat="1" applyFont="1" applyBorder="1" applyAlignment="1">
      <alignment horizontal="left"/>
    </xf>
    <xf numFmtId="0" fontId="87" fillId="0" borderId="72" xfId="0" applyFont="1" applyBorder="1" applyAlignment="1">
      <alignment horizontal="left"/>
    </xf>
    <xf numFmtId="2" fontId="87" fillId="0" borderId="73" xfId="0" applyNumberFormat="1" applyFont="1" applyBorder="1" applyAlignment="1">
      <alignment horizontal="left"/>
    </xf>
    <xf numFmtId="2" fontId="101" fillId="0" borderId="74" xfId="0" applyNumberFormat="1" applyFont="1" applyBorder="1" applyAlignment="1">
      <alignment horizontal="left"/>
    </xf>
    <xf numFmtId="1" fontId="86" fillId="0" borderId="57" xfId="0" applyNumberFormat="1" applyFont="1" applyFill="1" applyBorder="1" applyAlignment="1">
      <alignment horizontal="center" vertical="justify" wrapText="1"/>
    </xf>
    <xf numFmtId="1" fontId="100" fillId="0" borderId="58" xfId="0" applyNumberFormat="1" applyFont="1" applyBorder="1" applyAlignment="1">
      <alignment horizontal="center" vertical="justify" wrapText="1"/>
    </xf>
    <xf numFmtId="0" fontId="85" fillId="0" borderId="15" xfId="0" applyFont="1" applyBorder="1" applyAlignment="1">
      <alignment horizontal="left"/>
    </xf>
    <xf numFmtId="2" fontId="77" fillId="0" borderId="45" xfId="0" applyNumberFormat="1" applyFont="1" applyBorder="1" applyAlignment="1">
      <alignment horizontal="left"/>
    </xf>
    <xf numFmtId="2" fontId="77" fillId="0" borderId="16" xfId="44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82" fillId="0" borderId="16" xfId="0" applyNumberFormat="1" applyFont="1" applyBorder="1" applyAlignment="1">
      <alignment horizontal="left" wrapText="1"/>
    </xf>
    <xf numFmtId="2" fontId="82" fillId="0" borderId="10" xfId="0" applyNumberFormat="1" applyFont="1" applyBorder="1" applyAlignment="1">
      <alignment horizontal="left" wrapText="1"/>
    </xf>
    <xf numFmtId="2" fontId="82" fillId="0" borderId="28" xfId="0" applyNumberFormat="1" applyFont="1" applyBorder="1" applyAlignment="1">
      <alignment horizontal="left" wrapText="1"/>
    </xf>
    <xf numFmtId="2" fontId="82" fillId="0" borderId="46" xfId="0" applyNumberFormat="1" applyFont="1" applyBorder="1" applyAlignment="1">
      <alignment horizontal="left" wrapText="1"/>
    </xf>
    <xf numFmtId="1" fontId="77" fillId="0" borderId="28" xfId="0" applyNumberFormat="1" applyFont="1" applyBorder="1" applyAlignment="1">
      <alignment horizontal="left" vertical="center"/>
    </xf>
    <xf numFmtId="1" fontId="77" fillId="0" borderId="30" xfId="0" applyNumberFormat="1" applyFont="1" applyBorder="1" applyAlignment="1">
      <alignment horizontal="left" vertical="center"/>
    </xf>
    <xf numFmtId="1" fontId="77" fillId="0" borderId="29" xfId="0" applyNumberFormat="1" applyFont="1" applyBorder="1" applyAlignment="1">
      <alignment horizontal="left"/>
    </xf>
    <xf numFmtId="1" fontId="77" fillId="0" borderId="30" xfId="0" applyNumberFormat="1" applyFont="1" applyBorder="1" applyAlignment="1">
      <alignment horizontal="left"/>
    </xf>
    <xf numFmtId="1" fontId="77" fillId="0" borderId="75" xfId="0" applyNumberFormat="1" applyFont="1" applyBorder="1" applyAlignment="1">
      <alignment horizontal="left"/>
    </xf>
    <xf numFmtId="1" fontId="77" fillId="0" borderId="28" xfId="0" applyNumberFormat="1" applyFont="1" applyBorder="1" applyAlignment="1">
      <alignment horizontal="left"/>
    </xf>
    <xf numFmtId="2" fontId="77" fillId="0" borderId="28" xfId="0" applyNumberFormat="1" applyFont="1" applyBorder="1" applyAlignment="1">
      <alignment horizontal="left" wrapText="1"/>
    </xf>
    <xf numFmtId="1" fontId="77" fillId="0" borderId="29" xfId="42" applyNumberFormat="1" applyFont="1" applyBorder="1" applyAlignment="1">
      <alignment horizontal="left"/>
    </xf>
    <xf numFmtId="1" fontId="77" fillId="0" borderId="28" xfId="42" applyNumberFormat="1" applyFont="1" applyBorder="1" applyAlignment="1">
      <alignment horizontal="left"/>
    </xf>
    <xf numFmtId="1" fontId="78" fillId="0" borderId="26" xfId="0" applyNumberFormat="1" applyFont="1" applyBorder="1" applyAlignment="1">
      <alignment horizontal="left"/>
    </xf>
    <xf numFmtId="1" fontId="89" fillId="0" borderId="61" xfId="0" applyNumberFormat="1" applyFont="1" applyBorder="1" applyAlignment="1">
      <alignment horizontal="left" vertical="center"/>
    </xf>
    <xf numFmtId="1" fontId="89" fillId="0" borderId="67" xfId="0" applyNumberFormat="1" applyFont="1" applyBorder="1" applyAlignment="1">
      <alignment horizontal="left" vertical="center"/>
    </xf>
    <xf numFmtId="1" fontId="89" fillId="0" borderId="71" xfId="0" applyNumberFormat="1" applyFont="1" applyBorder="1" applyAlignment="1">
      <alignment horizontal="left" vertical="center"/>
    </xf>
    <xf numFmtId="1" fontId="89" fillId="0" borderId="72" xfId="0" applyNumberFormat="1" applyFont="1" applyBorder="1" applyAlignment="1">
      <alignment horizontal="left" vertical="center"/>
    </xf>
    <xf numFmtId="1" fontId="89" fillId="0" borderId="59" xfId="0" applyNumberFormat="1" applyFont="1" applyBorder="1" applyAlignment="1">
      <alignment horizontal="left" vertical="center"/>
    </xf>
    <xf numFmtId="1" fontId="89" fillId="0" borderId="58" xfId="0" applyNumberFormat="1" applyFont="1" applyBorder="1" applyAlignment="1">
      <alignment horizontal="left" vertical="center"/>
    </xf>
    <xf numFmtId="1" fontId="89" fillId="0" borderId="61" xfId="0" applyNumberFormat="1" applyFont="1" applyBorder="1" applyAlignment="1">
      <alignment horizontal="left"/>
    </xf>
    <xf numFmtId="1" fontId="89" fillId="0" borderId="71" xfId="0" applyNumberFormat="1" applyFont="1" applyBorder="1" applyAlignment="1">
      <alignment horizontal="left"/>
    </xf>
    <xf numFmtId="1" fontId="90" fillId="0" borderId="61" xfId="42" applyNumberFormat="1" applyFont="1" applyBorder="1" applyAlignment="1">
      <alignment horizontal="left"/>
    </xf>
    <xf numFmtId="1" fontId="90" fillId="0" borderId="62" xfId="42" applyNumberFormat="1" applyFont="1" applyBorder="1" applyAlignment="1">
      <alignment horizontal="left"/>
    </xf>
    <xf numFmtId="1" fontId="89" fillId="0" borderId="62" xfId="0" applyNumberFormat="1" applyFont="1" applyBorder="1" applyAlignment="1">
      <alignment horizontal="left"/>
    </xf>
    <xf numFmtId="1" fontId="78" fillId="0" borderId="28" xfId="0" applyNumberFormat="1" applyFont="1" applyBorder="1" applyAlignment="1">
      <alignment horizontal="left" vertical="center"/>
    </xf>
    <xf numFmtId="1" fontId="78" fillId="0" borderId="76" xfId="0" applyNumberFormat="1" applyFont="1" applyBorder="1" applyAlignment="1">
      <alignment horizontal="left" vertical="center"/>
    </xf>
    <xf numFmtId="1" fontId="78" fillId="0" borderId="29" xfId="0" applyNumberFormat="1" applyFont="1" applyBorder="1" applyAlignment="1">
      <alignment horizontal="left"/>
    </xf>
    <xf numFmtId="1" fontId="2" fillId="0" borderId="75" xfId="0" applyNumberFormat="1" applyFont="1" applyBorder="1" applyAlignment="1">
      <alignment horizontal="left"/>
    </xf>
    <xf numFmtId="1" fontId="78" fillId="0" borderId="29" xfId="0" applyNumberFormat="1" applyFont="1" applyBorder="1" applyAlignment="1">
      <alignment horizontal="left" vertical="center"/>
    </xf>
    <xf numFmtId="1" fontId="78" fillId="0" borderId="28" xfId="0" applyNumberFormat="1" applyFont="1" applyBorder="1" applyAlignment="1">
      <alignment horizontal="left"/>
    </xf>
    <xf numFmtId="1" fontId="86" fillId="0" borderId="57" xfId="0" applyNumberFormat="1" applyFont="1" applyFill="1" applyBorder="1" applyAlignment="1">
      <alignment horizontal="center" vertical="center" wrapText="1"/>
    </xf>
    <xf numFmtId="1" fontId="100" fillId="0" borderId="39" xfId="0" applyNumberFormat="1" applyFont="1" applyBorder="1" applyAlignment="1">
      <alignment horizontal="left"/>
    </xf>
    <xf numFmtId="3" fontId="100" fillId="0" borderId="39" xfId="0" applyNumberFormat="1" applyFont="1" applyBorder="1" applyAlignment="1">
      <alignment horizontal="left"/>
    </xf>
    <xf numFmtId="0" fontId="84" fillId="0" borderId="77" xfId="0" applyFont="1" applyBorder="1" applyAlignment="1">
      <alignment horizontal="center" vertical="center"/>
    </xf>
    <xf numFmtId="0" fontId="83" fillId="0" borderId="78" xfId="0" applyFont="1" applyBorder="1" applyAlignment="1">
      <alignment horizontal="left"/>
    </xf>
    <xf numFmtId="0" fontId="81" fillId="0" borderId="78" xfId="0" applyFont="1" applyBorder="1" applyAlignment="1">
      <alignment/>
    </xf>
    <xf numFmtId="2" fontId="82" fillId="0" borderId="76" xfId="0" applyNumberFormat="1" applyFont="1" applyBorder="1" applyAlignment="1">
      <alignment horizontal="right"/>
    </xf>
    <xf numFmtId="2" fontId="82" fillId="0" borderId="36" xfId="0" applyNumberFormat="1" applyFont="1" applyBorder="1" applyAlignment="1">
      <alignment horizontal="right"/>
    </xf>
    <xf numFmtId="2" fontId="77" fillId="0" borderId="76" xfId="0" applyNumberFormat="1" applyFont="1" applyBorder="1" applyAlignment="1">
      <alignment horizontal="right"/>
    </xf>
    <xf numFmtId="2" fontId="87" fillId="0" borderId="76" xfId="0" applyNumberFormat="1" applyFont="1" applyBorder="1" applyAlignment="1">
      <alignment horizontal="left"/>
    </xf>
    <xf numFmtId="2" fontId="82" fillId="0" borderId="76" xfId="42" applyNumberFormat="1" applyFont="1" applyBorder="1" applyAlignment="1">
      <alignment horizontal="right"/>
    </xf>
    <xf numFmtId="2" fontId="82" fillId="0" borderId="76" xfId="0" applyNumberFormat="1" applyFont="1" applyBorder="1" applyAlignment="1">
      <alignment horizontal="right" wrapText="1"/>
    </xf>
    <xf numFmtId="0" fontId="102" fillId="0" borderId="67" xfId="0" applyFont="1" applyBorder="1" applyAlignment="1">
      <alignment horizontal="center" vertical="center"/>
    </xf>
    <xf numFmtId="1" fontId="85" fillId="0" borderId="18" xfId="0" applyNumberFormat="1" applyFont="1" applyBorder="1" applyAlignment="1">
      <alignment horizontal="left"/>
    </xf>
    <xf numFmtId="1" fontId="78" fillId="0" borderId="0" xfId="0" applyNumberFormat="1" applyFont="1" applyAlignment="1">
      <alignment horizontal="left"/>
    </xf>
    <xf numFmtId="1" fontId="78" fillId="0" borderId="13" xfId="44" applyNumberFormat="1" applyFont="1" applyBorder="1" applyAlignment="1">
      <alignment horizontal="left"/>
    </xf>
    <xf numFmtId="1" fontId="78" fillId="0" borderId="13" xfId="0" applyNumberFormat="1" applyFont="1" applyBorder="1" applyAlignment="1">
      <alignment horizontal="left" wrapText="1"/>
    </xf>
    <xf numFmtId="1" fontId="78" fillId="0" borderId="13" xfId="0" applyNumberFormat="1" applyFont="1" applyFill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78" fillId="0" borderId="38" xfId="0" applyNumberFormat="1" applyFont="1" applyBorder="1" applyAlignment="1">
      <alignment horizontal="left" vertical="center"/>
    </xf>
    <xf numFmtId="0" fontId="89" fillId="0" borderId="58" xfId="0" applyFont="1" applyBorder="1" applyAlignment="1">
      <alignment horizontal="left"/>
    </xf>
    <xf numFmtId="1" fontId="77" fillId="0" borderId="19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" fontId="2" fillId="0" borderId="55" xfId="0" applyNumberFormat="1" applyFont="1" applyBorder="1" applyAlignment="1">
      <alignment horizontal="left" vertical="center"/>
    </xf>
    <xf numFmtId="1" fontId="2" fillId="0" borderId="54" xfId="0" applyNumberFormat="1" applyFont="1" applyBorder="1" applyAlignment="1">
      <alignment horizontal="left" vertical="center"/>
    </xf>
    <xf numFmtId="1" fontId="5" fillId="0" borderId="53" xfId="0" applyNumberFormat="1" applyFont="1" applyBorder="1" applyAlignment="1">
      <alignment horizontal="left"/>
    </xf>
    <xf numFmtId="1" fontId="5" fillId="0" borderId="54" xfId="0" applyNumberFormat="1" applyFont="1" applyBorder="1" applyAlignment="1">
      <alignment horizontal="left"/>
    </xf>
    <xf numFmtId="1" fontId="5" fillId="0" borderId="73" xfId="0" applyNumberFormat="1" applyFont="1" applyBorder="1" applyAlignment="1">
      <alignment horizontal="left"/>
    </xf>
    <xf numFmtId="1" fontId="5" fillId="0" borderId="55" xfId="0" applyNumberFormat="1" applyFont="1" applyBorder="1" applyAlignment="1">
      <alignment horizontal="left"/>
    </xf>
    <xf numFmtId="1" fontId="2" fillId="0" borderId="53" xfId="0" applyNumberFormat="1" applyFont="1" applyBorder="1" applyAlignment="1">
      <alignment horizontal="left"/>
    </xf>
    <xf numFmtId="1" fontId="2" fillId="0" borderId="54" xfId="0" applyNumberFormat="1" applyFont="1" applyBorder="1" applyAlignment="1">
      <alignment horizontal="left"/>
    </xf>
    <xf numFmtId="1" fontId="2" fillId="0" borderId="73" xfId="0" applyNumberFormat="1" applyFont="1" applyBorder="1" applyAlignment="1">
      <alignment horizontal="left"/>
    </xf>
    <xf numFmtId="1" fontId="2" fillId="0" borderId="55" xfId="0" applyNumberFormat="1" applyFont="1" applyBorder="1" applyAlignment="1">
      <alignment horizontal="left"/>
    </xf>
    <xf numFmtId="2" fontId="5" fillId="0" borderId="55" xfId="0" applyNumberFormat="1" applyFont="1" applyBorder="1" applyAlignment="1">
      <alignment horizontal="left" wrapText="1"/>
    </xf>
    <xf numFmtId="0" fontId="5" fillId="0" borderId="73" xfId="0" applyFont="1" applyBorder="1" applyAlignment="1">
      <alignment horizontal="left"/>
    </xf>
    <xf numFmtId="1" fontId="5" fillId="0" borderId="73" xfId="0" applyNumberFormat="1" applyFont="1" applyFill="1" applyBorder="1" applyAlignment="1">
      <alignment horizontal="left"/>
    </xf>
    <xf numFmtId="1" fontId="5" fillId="0" borderId="53" xfId="42" applyNumberFormat="1" applyFont="1" applyBorder="1" applyAlignment="1">
      <alignment horizontal="left"/>
    </xf>
    <xf numFmtId="1" fontId="5" fillId="0" borderId="54" xfId="42" applyNumberFormat="1" applyFont="1" applyBorder="1" applyAlignment="1">
      <alignment horizontal="left"/>
    </xf>
    <xf numFmtId="1" fontId="5" fillId="0" borderId="73" xfId="42" applyNumberFormat="1" applyFont="1" applyBorder="1" applyAlignment="1">
      <alignment horizontal="left"/>
    </xf>
    <xf numFmtId="1" fontId="5" fillId="0" borderId="55" xfId="42" applyNumberFormat="1" applyFont="1" applyBorder="1" applyAlignment="1">
      <alignment horizontal="left"/>
    </xf>
    <xf numFmtId="1" fontId="2" fillId="0" borderId="26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" fontId="78" fillId="0" borderId="75" xfId="0" applyNumberFormat="1" applyFont="1" applyBorder="1" applyAlignment="1">
      <alignment horizontal="left" vertical="center"/>
    </xf>
    <xf numFmtId="1" fontId="89" fillId="0" borderId="79" xfId="0" applyNumberFormat="1" applyFont="1" applyBorder="1" applyAlignment="1">
      <alignment horizontal="left" vertical="center"/>
    </xf>
    <xf numFmtId="1" fontId="78" fillId="0" borderId="30" xfId="0" applyNumberFormat="1" applyFont="1" applyBorder="1" applyAlignment="1">
      <alignment horizontal="left"/>
    </xf>
    <xf numFmtId="1" fontId="78" fillId="0" borderId="75" xfId="0" applyNumberFormat="1" applyFont="1" applyBorder="1" applyAlignment="1">
      <alignment horizontal="left"/>
    </xf>
    <xf numFmtId="1" fontId="78" fillId="0" borderId="29" xfId="44" applyNumberFormat="1" applyFont="1" applyBorder="1" applyAlignment="1">
      <alignment horizontal="left"/>
    </xf>
    <xf numFmtId="1" fontId="78" fillId="0" borderId="29" xfId="0" applyNumberFormat="1" applyFont="1" applyBorder="1" applyAlignment="1">
      <alignment horizontal="left" wrapText="1"/>
    </xf>
    <xf numFmtId="1" fontId="85" fillId="0" borderId="75" xfId="0" applyNumberFormat="1" applyFont="1" applyBorder="1" applyAlignment="1">
      <alignment horizontal="left"/>
    </xf>
    <xf numFmtId="1" fontId="78" fillId="0" borderId="29" xfId="0" applyNumberFormat="1" applyFont="1" applyFill="1" applyBorder="1" applyAlignment="1">
      <alignment horizontal="left"/>
    </xf>
    <xf numFmtId="1" fontId="78" fillId="0" borderId="75" xfId="42" applyNumberFormat="1" applyFont="1" applyBorder="1" applyAlignment="1">
      <alignment horizontal="left"/>
    </xf>
    <xf numFmtId="1" fontId="78" fillId="0" borderId="55" xfId="0" applyNumberFormat="1" applyFont="1" applyBorder="1" applyAlignment="1">
      <alignment horizontal="left" vertical="center"/>
    </xf>
    <xf numFmtId="1" fontId="78" fillId="0" borderId="73" xfId="0" applyNumberFormat="1" applyFont="1" applyBorder="1" applyAlignment="1">
      <alignment horizontal="left" vertical="center"/>
    </xf>
    <xf numFmtId="1" fontId="77" fillId="0" borderId="53" xfId="0" applyNumberFormat="1" applyFont="1" applyBorder="1" applyAlignment="1">
      <alignment horizontal="left"/>
    </xf>
    <xf numFmtId="1" fontId="77" fillId="0" borderId="54" xfId="0" applyNumberFormat="1" applyFont="1" applyBorder="1" applyAlignment="1">
      <alignment horizontal="left"/>
    </xf>
    <xf numFmtId="1" fontId="77" fillId="0" borderId="73" xfId="0" applyNumberFormat="1" applyFont="1" applyBorder="1" applyAlignment="1">
      <alignment horizontal="left"/>
    </xf>
    <xf numFmtId="2" fontId="77" fillId="0" borderId="54" xfId="0" applyNumberFormat="1" applyFont="1" applyBorder="1" applyAlignment="1">
      <alignment horizontal="left"/>
    </xf>
    <xf numFmtId="1" fontId="77" fillId="0" borderId="80" xfId="0" applyNumberFormat="1" applyFont="1" applyBorder="1" applyAlignment="1">
      <alignment horizontal="left"/>
    </xf>
    <xf numFmtId="0" fontId="77" fillId="0" borderId="55" xfId="0" applyFont="1" applyBorder="1" applyAlignment="1">
      <alignment horizontal="left"/>
    </xf>
    <xf numFmtId="2" fontId="77" fillId="0" borderId="53" xfId="0" applyNumberFormat="1" applyFont="1" applyBorder="1" applyAlignment="1">
      <alignment horizontal="left" wrapText="1"/>
    </xf>
    <xf numFmtId="0" fontId="80" fillId="0" borderId="73" xfId="0" applyFont="1" applyBorder="1" applyAlignment="1">
      <alignment horizontal="left"/>
    </xf>
    <xf numFmtId="1" fontId="77" fillId="0" borderId="53" xfId="0" applyNumberFormat="1" applyFont="1" applyFill="1" applyBorder="1" applyAlignment="1">
      <alignment horizontal="left"/>
    </xf>
    <xf numFmtId="1" fontId="77" fillId="0" borderId="73" xfId="42" applyNumberFormat="1" applyFont="1" applyBorder="1" applyAlignment="1">
      <alignment horizontal="left"/>
    </xf>
    <xf numFmtId="1" fontId="78" fillId="0" borderId="53" xfId="0" applyNumberFormat="1" applyFont="1" applyBorder="1" applyAlignment="1">
      <alignment horizontal="left" vertical="center"/>
    </xf>
    <xf numFmtId="0" fontId="81" fillId="0" borderId="25" xfId="0" applyFont="1" applyBorder="1" applyAlignment="1">
      <alignment horizontal="left"/>
    </xf>
    <xf numFmtId="0" fontId="81" fillId="0" borderId="24" xfId="0" applyFont="1" applyBorder="1" applyAlignment="1">
      <alignment horizontal="left"/>
    </xf>
    <xf numFmtId="0" fontId="81" fillId="0" borderId="44" xfId="0" applyFont="1" applyBorder="1" applyAlignment="1">
      <alignment horizontal="left"/>
    </xf>
    <xf numFmtId="0" fontId="81" fillId="0" borderId="63" xfId="0" applyFont="1" applyBorder="1" applyAlignment="1">
      <alignment horizontal="left"/>
    </xf>
    <xf numFmtId="0" fontId="82" fillId="0" borderId="25" xfId="0" applyFont="1" applyBorder="1" applyAlignment="1">
      <alignment horizontal="left"/>
    </xf>
    <xf numFmtId="3" fontId="87" fillId="0" borderId="12" xfId="0" applyNumberFormat="1" applyFont="1" applyBorder="1" applyAlignment="1">
      <alignment horizontal="left"/>
    </xf>
    <xf numFmtId="0" fontId="78" fillId="0" borderId="40" xfId="0" applyFont="1" applyBorder="1" applyAlignment="1">
      <alignment horizontal="left"/>
    </xf>
    <xf numFmtId="0" fontId="81" fillId="0" borderId="19" xfId="0" applyFont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96" fillId="0" borderId="21" xfId="0" applyFont="1" applyBorder="1" applyAlignment="1">
      <alignment horizontal="left"/>
    </xf>
    <xf numFmtId="0" fontId="81" fillId="0" borderId="16" xfId="0" applyFont="1" applyBorder="1" applyAlignment="1">
      <alignment horizontal="left"/>
    </xf>
    <xf numFmtId="0" fontId="80" fillId="0" borderId="81" xfId="0" applyFont="1" applyBorder="1" applyAlignment="1">
      <alignment horizontal="left"/>
    </xf>
    <xf numFmtId="0" fontId="97" fillId="0" borderId="82" xfId="0" applyFont="1" applyBorder="1" applyAlignment="1">
      <alignment horizontal="left"/>
    </xf>
    <xf numFmtId="2" fontId="82" fillId="0" borderId="25" xfId="0" applyNumberFormat="1" applyFont="1" applyBorder="1" applyAlignment="1">
      <alignment vertical="center"/>
    </xf>
    <xf numFmtId="2" fontId="84" fillId="0" borderId="25" xfId="0" applyNumberFormat="1" applyFont="1" applyBorder="1" applyAlignment="1">
      <alignment vertical="center"/>
    </xf>
    <xf numFmtId="2" fontId="82" fillId="0" borderId="76" xfId="0" applyNumberFormat="1" applyFont="1" applyBorder="1" applyAlignment="1">
      <alignment vertical="center"/>
    </xf>
    <xf numFmtId="2" fontId="82" fillId="0" borderId="26" xfId="0" applyNumberFormat="1" applyFont="1" applyBorder="1" applyAlignment="1">
      <alignment horizontal="right"/>
    </xf>
    <xf numFmtId="3" fontId="83" fillId="0" borderId="10" xfId="0" applyNumberFormat="1" applyFont="1" applyBorder="1" applyAlignment="1">
      <alignment horizontal="left"/>
    </xf>
    <xf numFmtId="172" fontId="83" fillId="0" borderId="10" xfId="0" applyNumberFormat="1" applyFont="1" applyBorder="1" applyAlignment="1">
      <alignment horizontal="left"/>
    </xf>
    <xf numFmtId="0" fontId="83" fillId="0" borderId="10" xfId="0" applyFont="1" applyBorder="1" applyAlignment="1">
      <alignment horizontal="left"/>
    </xf>
    <xf numFmtId="0" fontId="78" fillId="0" borderId="41" xfId="0" applyFont="1" applyBorder="1" applyAlignment="1">
      <alignment horizontal="left" vertical="center"/>
    </xf>
    <xf numFmtId="2" fontId="82" fillId="0" borderId="24" xfId="42" applyNumberFormat="1" applyFont="1" applyBorder="1" applyAlignment="1">
      <alignment horizontal="right"/>
    </xf>
    <xf numFmtId="1" fontId="80" fillId="0" borderId="56" xfId="0" applyNumberFormat="1" applyFont="1" applyFill="1" applyBorder="1" applyAlignment="1">
      <alignment horizontal="left" vertical="center" wrapText="1"/>
    </xf>
    <xf numFmtId="1" fontId="80" fillId="0" borderId="56" xfId="0" applyNumberFormat="1" applyFont="1" applyFill="1" applyBorder="1" applyAlignment="1">
      <alignment horizontal="left" vertical="top" wrapText="1"/>
    </xf>
    <xf numFmtId="1" fontId="2" fillId="0" borderId="56" xfId="0" applyNumberFormat="1" applyFont="1" applyFill="1" applyBorder="1" applyAlignment="1">
      <alignment horizontal="left" vertical="top" wrapText="1"/>
    </xf>
    <xf numFmtId="1" fontId="5" fillId="0" borderId="56" xfId="0" applyNumberFormat="1" applyFont="1" applyFill="1" applyBorder="1" applyAlignment="1">
      <alignment horizontal="left" vertical="top" wrapText="1"/>
    </xf>
    <xf numFmtId="1" fontId="80" fillId="0" borderId="78" xfId="0" applyNumberFormat="1" applyFont="1" applyFill="1" applyBorder="1" applyAlignment="1">
      <alignment horizontal="left" vertical="top" wrapText="1"/>
    </xf>
    <xf numFmtId="2" fontId="77" fillId="0" borderId="15" xfId="0" applyNumberFormat="1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2" fillId="0" borderId="0" xfId="0" applyFont="1" applyBorder="1" applyAlignment="1">
      <alignment horizontal="left"/>
    </xf>
    <xf numFmtId="0" fontId="94" fillId="0" borderId="0" xfId="0" applyFont="1" applyBorder="1" applyAlignment="1">
      <alignment horizontal="left"/>
    </xf>
    <xf numFmtId="2" fontId="78" fillId="0" borderId="13" xfId="0" applyNumberFormat="1" applyFont="1" applyFill="1" applyBorder="1" applyAlignment="1">
      <alignment horizontal="left"/>
    </xf>
    <xf numFmtId="172" fontId="85" fillId="0" borderId="11" xfId="0" applyNumberFormat="1" applyFont="1" applyBorder="1" applyAlignment="1">
      <alignment horizontal="left"/>
    </xf>
    <xf numFmtId="2" fontId="89" fillId="0" borderId="17" xfId="0" applyNumberFormat="1" applyFont="1" applyBorder="1" applyAlignment="1">
      <alignment horizontal="left" vertical="center"/>
    </xf>
    <xf numFmtId="172" fontId="85" fillId="0" borderId="40" xfId="0" applyNumberFormat="1" applyFont="1" applyBorder="1" applyAlignment="1">
      <alignment horizontal="left"/>
    </xf>
    <xf numFmtId="172" fontId="85" fillId="0" borderId="41" xfId="0" applyNumberFormat="1" applyFont="1" applyBorder="1" applyAlignment="1">
      <alignment horizontal="left"/>
    </xf>
    <xf numFmtId="172" fontId="85" fillId="0" borderId="10" xfId="0" applyNumberFormat="1" applyFont="1" applyBorder="1" applyAlignment="1">
      <alignment horizontal="left"/>
    </xf>
    <xf numFmtId="0" fontId="85" fillId="0" borderId="10" xfId="0" applyFont="1" applyBorder="1" applyAlignment="1">
      <alignment horizontal="left"/>
    </xf>
    <xf numFmtId="172" fontId="85" fillId="0" borderId="21" xfId="0" applyNumberFormat="1" applyFont="1" applyBorder="1" applyAlignment="1">
      <alignment horizontal="left"/>
    </xf>
    <xf numFmtId="172" fontId="85" fillId="0" borderId="20" xfId="0" applyNumberFormat="1" applyFont="1" applyBorder="1" applyAlignment="1">
      <alignment horizontal="left"/>
    </xf>
    <xf numFmtId="2" fontId="78" fillId="0" borderId="17" xfId="0" applyNumberFormat="1" applyFont="1" applyBorder="1" applyAlignment="1">
      <alignment horizontal="left" vertical="center"/>
    </xf>
    <xf numFmtId="0" fontId="78" fillId="0" borderId="11" xfId="0" applyFont="1" applyBorder="1" applyAlignment="1">
      <alignment horizontal="left" vertical="center"/>
    </xf>
    <xf numFmtId="1" fontId="78" fillId="0" borderId="22" xfId="0" applyNumberFormat="1" applyFont="1" applyBorder="1" applyAlignment="1">
      <alignment horizontal="left"/>
    </xf>
    <xf numFmtId="1" fontId="77" fillId="0" borderId="55" xfId="0" applyNumberFormat="1" applyFont="1" applyBorder="1" applyAlignment="1">
      <alignment horizontal="left"/>
    </xf>
    <xf numFmtId="1" fontId="78" fillId="0" borderId="45" xfId="0" applyNumberFormat="1" applyFont="1" applyBorder="1" applyAlignment="1">
      <alignment horizontal="left"/>
    </xf>
    <xf numFmtId="2" fontId="77" fillId="0" borderId="80" xfId="0" applyNumberFormat="1" applyFont="1" applyBorder="1" applyAlignment="1">
      <alignment horizontal="left"/>
    </xf>
    <xf numFmtId="2" fontId="77" fillId="0" borderId="55" xfId="0" applyNumberFormat="1" applyFont="1" applyBorder="1" applyAlignment="1">
      <alignment horizontal="left"/>
    </xf>
    <xf numFmtId="172" fontId="83" fillId="0" borderId="16" xfId="0" applyNumberFormat="1" applyFont="1" applyBorder="1" applyAlignment="1">
      <alignment horizontal="left"/>
    </xf>
    <xf numFmtId="172" fontId="83" fillId="0" borderId="28" xfId="0" applyNumberFormat="1" applyFont="1" applyBorder="1" applyAlignment="1">
      <alignment horizontal="left"/>
    </xf>
    <xf numFmtId="0" fontId="81" fillId="0" borderId="46" xfId="0" applyFont="1" applyBorder="1" applyAlignment="1">
      <alignment horizontal="left"/>
    </xf>
    <xf numFmtId="1" fontId="87" fillId="0" borderId="25" xfId="0" applyNumberFormat="1" applyFont="1" applyBorder="1" applyAlignment="1">
      <alignment horizontal="left"/>
    </xf>
    <xf numFmtId="1" fontId="87" fillId="0" borderId="24" xfId="42" applyNumberFormat="1" applyFont="1" applyBorder="1" applyAlignment="1">
      <alignment horizontal="left"/>
    </xf>
    <xf numFmtId="0" fontId="86" fillId="0" borderId="65" xfId="0" applyFont="1" applyBorder="1" applyAlignment="1">
      <alignment horizontal="left" vertical="center"/>
    </xf>
    <xf numFmtId="1" fontId="87" fillId="0" borderId="24" xfId="0" applyNumberFormat="1" applyFont="1" applyBorder="1" applyAlignment="1">
      <alignment horizontal="left"/>
    </xf>
    <xf numFmtId="2" fontId="87" fillId="0" borderId="13" xfId="0" applyNumberFormat="1" applyFont="1" applyBorder="1" applyAlignment="1">
      <alignment horizontal="left" wrapText="1"/>
    </xf>
    <xf numFmtId="2" fontId="87" fillId="0" borderId="12" xfId="42" applyNumberFormat="1" applyFont="1" applyBorder="1" applyAlignment="1">
      <alignment horizontal="left"/>
    </xf>
    <xf numFmtId="1" fontId="103" fillId="0" borderId="78" xfId="0" applyNumberFormat="1" applyFont="1" applyFill="1" applyBorder="1" applyAlignment="1">
      <alignment horizontal="left" vertical="top" wrapText="1"/>
    </xf>
    <xf numFmtId="1" fontId="103" fillId="0" borderId="28" xfId="0" applyNumberFormat="1" applyFont="1" applyBorder="1" applyAlignment="1">
      <alignment horizontal="left" vertical="center"/>
    </xf>
    <xf numFmtId="1" fontId="104" fillId="0" borderId="11" xfId="42" applyNumberFormat="1" applyFont="1" applyBorder="1" applyAlignment="1">
      <alignment horizontal="left"/>
    </xf>
    <xf numFmtId="1" fontId="103" fillId="0" borderId="0" xfId="0" applyNumberFormat="1" applyFont="1" applyFill="1" applyAlignment="1">
      <alignment horizontal="left"/>
    </xf>
    <xf numFmtId="1" fontId="104" fillId="0" borderId="56" xfId="0" applyNumberFormat="1" applyFont="1" applyFill="1" applyBorder="1" applyAlignment="1">
      <alignment horizontal="left" vertical="top" wrapText="1"/>
    </xf>
    <xf numFmtId="1" fontId="103" fillId="0" borderId="10" xfId="0" applyNumberFormat="1" applyFont="1" applyBorder="1" applyAlignment="1">
      <alignment horizontal="left" vertical="center"/>
    </xf>
    <xf numFmtId="1" fontId="103" fillId="0" borderId="24" xfId="0" applyNumberFormat="1" applyFont="1" applyBorder="1" applyAlignment="1">
      <alignment horizontal="left" vertical="center"/>
    </xf>
    <xf numFmtId="1" fontId="104" fillId="0" borderId="0" xfId="0" applyNumberFormat="1" applyFont="1" applyAlignment="1">
      <alignment horizontal="left"/>
    </xf>
    <xf numFmtId="1" fontId="104" fillId="0" borderId="10" xfId="0" applyNumberFormat="1" applyFont="1" applyBorder="1" applyAlignment="1">
      <alignment horizontal="left" vertical="center"/>
    </xf>
    <xf numFmtId="0" fontId="105" fillId="0" borderId="56" xfId="0" applyFont="1" applyBorder="1" applyAlignment="1">
      <alignment horizontal="left"/>
    </xf>
    <xf numFmtId="0" fontId="106" fillId="0" borderId="56" xfId="0" applyFont="1" applyBorder="1" applyAlignment="1">
      <alignment/>
    </xf>
    <xf numFmtId="2" fontId="107" fillId="0" borderId="24" xfId="0" applyNumberFormat="1" applyFont="1" applyBorder="1" applyAlignment="1">
      <alignment vertical="center"/>
    </xf>
    <xf numFmtId="2" fontId="107" fillId="0" borderId="25" xfId="0" applyNumberFormat="1" applyFont="1" applyBorder="1" applyAlignment="1">
      <alignment vertical="center"/>
    </xf>
    <xf numFmtId="2" fontId="107" fillId="0" borderId="25" xfId="0" applyNumberFormat="1" applyFont="1" applyBorder="1" applyAlignment="1">
      <alignment horizontal="right"/>
    </xf>
    <xf numFmtId="2" fontId="107" fillId="0" borderId="24" xfId="0" applyNumberFormat="1" applyFont="1" applyBorder="1" applyAlignment="1">
      <alignment horizontal="right"/>
    </xf>
    <xf numFmtId="2" fontId="103" fillId="0" borderId="25" xfId="0" applyNumberFormat="1" applyFont="1" applyBorder="1" applyAlignment="1">
      <alignment horizontal="right"/>
    </xf>
    <xf numFmtId="2" fontId="103" fillId="0" borderId="25" xfId="0" applyNumberFormat="1" applyFont="1" applyBorder="1" applyAlignment="1">
      <alignment horizontal="left"/>
    </xf>
    <xf numFmtId="2" fontId="107" fillId="0" borderId="25" xfId="42" applyNumberFormat="1" applyFont="1" applyBorder="1" applyAlignment="1">
      <alignment horizontal="right"/>
    </xf>
    <xf numFmtId="2" fontId="107" fillId="0" borderId="25" xfId="0" applyNumberFormat="1" applyFont="1" applyBorder="1" applyAlignment="1">
      <alignment horizontal="right" wrapText="1"/>
    </xf>
    <xf numFmtId="0" fontId="106" fillId="0" borderId="0" xfId="0" applyFont="1" applyAlignment="1">
      <alignment/>
    </xf>
    <xf numFmtId="0" fontId="105" fillId="0" borderId="67" xfId="0" applyFont="1" applyBorder="1" applyAlignment="1">
      <alignment horizontal="left"/>
    </xf>
    <xf numFmtId="0" fontId="106" fillId="0" borderId="67" xfId="0" applyFont="1" applyBorder="1" applyAlignment="1">
      <alignment/>
    </xf>
    <xf numFmtId="2" fontId="107" fillId="0" borderId="62" xfId="0" applyNumberFormat="1" applyFont="1" applyBorder="1" applyAlignment="1">
      <alignment vertical="center"/>
    </xf>
    <xf numFmtId="2" fontId="107" fillId="0" borderId="62" xfId="0" applyNumberFormat="1" applyFont="1" applyBorder="1" applyAlignment="1">
      <alignment horizontal="right"/>
    </xf>
    <xf numFmtId="2" fontId="107" fillId="0" borderId="58" xfId="0" applyNumberFormat="1" applyFont="1" applyBorder="1" applyAlignment="1">
      <alignment horizontal="right"/>
    </xf>
    <xf numFmtId="2" fontId="103" fillId="0" borderId="62" xfId="0" applyNumberFormat="1" applyFont="1" applyBorder="1" applyAlignment="1">
      <alignment horizontal="right"/>
    </xf>
    <xf numFmtId="2" fontId="105" fillId="0" borderId="62" xfId="0" applyNumberFormat="1" applyFont="1" applyBorder="1" applyAlignment="1">
      <alignment horizontal="left"/>
    </xf>
    <xf numFmtId="2" fontId="107" fillId="0" borderId="62" xfId="42" applyNumberFormat="1" applyFont="1" applyBorder="1" applyAlignment="1">
      <alignment horizontal="right"/>
    </xf>
    <xf numFmtId="2" fontId="107" fillId="0" borderId="62" xfId="0" applyNumberFormat="1" applyFont="1" applyBorder="1" applyAlignment="1">
      <alignment horizontal="right" wrapText="1"/>
    </xf>
    <xf numFmtId="2" fontId="107" fillId="0" borderId="25" xfId="44" applyNumberFormat="1" applyFont="1" applyBorder="1" applyAlignment="1">
      <alignment horizontal="right"/>
    </xf>
    <xf numFmtId="2" fontId="103" fillId="0" borderId="24" xfId="42" applyNumberFormat="1" applyFont="1" applyBorder="1" applyAlignment="1">
      <alignment horizontal="right"/>
    </xf>
    <xf numFmtId="2" fontId="103" fillId="0" borderId="25" xfId="42" applyNumberFormat="1" applyFont="1" applyBorder="1" applyAlignment="1">
      <alignment horizontal="right"/>
    </xf>
    <xf numFmtId="1" fontId="87" fillId="0" borderId="34" xfId="0" applyNumberFormat="1" applyFont="1" applyBorder="1" applyAlignment="1">
      <alignment horizontal="left"/>
    </xf>
    <xf numFmtId="1" fontId="86" fillId="0" borderId="11" xfId="44" applyNumberFormat="1" applyFont="1" applyBorder="1" applyAlignment="1">
      <alignment horizontal="left"/>
    </xf>
    <xf numFmtId="1" fontId="86" fillId="0" borderId="11" xfId="42" applyNumberFormat="1" applyFont="1" applyBorder="1" applyAlignment="1">
      <alignment horizontal="left"/>
    </xf>
    <xf numFmtId="2" fontId="108" fillId="0" borderId="28" xfId="0" applyNumberFormat="1" applyFont="1" applyBorder="1" applyAlignment="1">
      <alignment horizontal="left" vertical="center"/>
    </xf>
    <xf numFmtId="2" fontId="78" fillId="0" borderId="29" xfId="0" applyNumberFormat="1" applyFont="1" applyBorder="1" applyAlignment="1">
      <alignment horizontal="left"/>
    </xf>
    <xf numFmtId="2" fontId="78" fillId="0" borderId="30" xfId="0" applyNumberFormat="1" applyFont="1" applyBorder="1" applyAlignment="1">
      <alignment horizontal="left"/>
    </xf>
    <xf numFmtId="2" fontId="78" fillId="0" borderId="45" xfId="0" applyNumberFormat="1" applyFont="1" applyBorder="1" applyAlignment="1">
      <alignment horizontal="left"/>
    </xf>
    <xf numFmtId="2" fontId="78" fillId="0" borderId="28" xfId="0" applyNumberFormat="1" applyFont="1" applyBorder="1" applyAlignment="1">
      <alignment horizontal="left"/>
    </xf>
    <xf numFmtId="2" fontId="78" fillId="0" borderId="75" xfId="0" applyNumberFormat="1" applyFont="1" applyBorder="1" applyAlignment="1">
      <alignment horizontal="left"/>
    </xf>
    <xf numFmtId="2" fontId="108" fillId="0" borderId="28" xfId="0" applyNumberFormat="1" applyFont="1" applyBorder="1" applyAlignment="1">
      <alignment horizontal="left"/>
    </xf>
    <xf numFmtId="2" fontId="108" fillId="0" borderId="30" xfId="0" applyNumberFormat="1" applyFont="1" applyBorder="1" applyAlignment="1">
      <alignment horizontal="left"/>
    </xf>
    <xf numFmtId="2" fontId="108" fillId="0" borderId="29" xfId="0" applyNumberFormat="1" applyFont="1" applyBorder="1" applyAlignment="1">
      <alignment horizontal="left"/>
    </xf>
    <xf numFmtId="0" fontId="78" fillId="0" borderId="28" xfId="0" applyFont="1" applyBorder="1" applyAlignment="1">
      <alignment horizontal="left"/>
    </xf>
    <xf numFmtId="0" fontId="78" fillId="0" borderId="30" xfId="0" applyFont="1" applyBorder="1" applyAlignment="1">
      <alignment horizontal="left"/>
    </xf>
    <xf numFmtId="2" fontId="78" fillId="0" borderId="28" xfId="0" applyNumberFormat="1" applyFont="1" applyBorder="1" applyAlignment="1">
      <alignment horizontal="left" wrapText="1"/>
    </xf>
    <xf numFmtId="2" fontId="78" fillId="0" borderId="28" xfId="0" applyNumberFormat="1" applyFont="1" applyFill="1" applyBorder="1" applyAlignment="1">
      <alignment horizontal="left"/>
    </xf>
    <xf numFmtId="2" fontId="78" fillId="0" borderId="30" xfId="0" applyNumberFormat="1" applyFont="1" applyFill="1" applyBorder="1" applyAlignment="1">
      <alignment horizontal="left"/>
    </xf>
    <xf numFmtId="2" fontId="78" fillId="0" borderId="28" xfId="42" applyNumberFormat="1" applyFont="1" applyBorder="1" applyAlignment="1">
      <alignment horizontal="left"/>
    </xf>
    <xf numFmtId="2" fontId="78" fillId="0" borderId="30" xfId="42" applyNumberFormat="1" applyFont="1" applyBorder="1" applyAlignment="1">
      <alignment horizontal="left"/>
    </xf>
    <xf numFmtId="2" fontId="78" fillId="0" borderId="53" xfId="0" applyNumberFormat="1" applyFont="1" applyBorder="1" applyAlignment="1">
      <alignment horizontal="left" vertical="center"/>
    </xf>
    <xf numFmtId="2" fontId="78" fillId="0" borderId="28" xfId="0" applyNumberFormat="1" applyFont="1" applyBorder="1" applyAlignment="1">
      <alignment horizontal="left" vertical="center"/>
    </xf>
    <xf numFmtId="2" fontId="78" fillId="0" borderId="75" xfId="0" applyNumberFormat="1" applyFont="1" applyBorder="1" applyAlignment="1">
      <alignment horizontal="left" vertical="center"/>
    </xf>
    <xf numFmtId="2" fontId="89" fillId="0" borderId="71" xfId="0" applyNumberFormat="1" applyFont="1" applyBorder="1" applyAlignment="1">
      <alignment horizontal="left" vertical="center"/>
    </xf>
    <xf numFmtId="2" fontId="89" fillId="0" borderId="72" xfId="0" applyNumberFormat="1" applyFont="1" applyBorder="1" applyAlignment="1">
      <alignment horizontal="left" vertical="center"/>
    </xf>
    <xf numFmtId="2" fontId="78" fillId="0" borderId="59" xfId="0" applyNumberFormat="1" applyFont="1" applyBorder="1" applyAlignment="1">
      <alignment horizontal="left" vertical="center"/>
    </xf>
    <xf numFmtId="2" fontId="89" fillId="0" borderId="61" xfId="42" applyNumberFormat="1" applyFont="1" applyBorder="1" applyAlignment="1">
      <alignment horizontal="left"/>
    </xf>
    <xf numFmtId="1" fontId="77" fillId="0" borderId="22" xfId="0" applyNumberFormat="1" applyFont="1" applyBorder="1" applyAlignment="1">
      <alignment horizontal="left"/>
    </xf>
    <xf numFmtId="1" fontId="104" fillId="0" borderId="22" xfId="0" applyNumberFormat="1" applyFont="1" applyBorder="1" applyAlignment="1">
      <alignment horizontal="left"/>
    </xf>
    <xf numFmtId="2" fontId="77" fillId="0" borderId="83" xfId="0" applyNumberFormat="1" applyFont="1" applyBorder="1" applyAlignment="1">
      <alignment horizontal="left"/>
    </xf>
    <xf numFmtId="1" fontId="78" fillId="0" borderId="84" xfId="0" applyNumberFormat="1" applyFont="1" applyBorder="1" applyAlignment="1">
      <alignment horizontal="left"/>
    </xf>
    <xf numFmtId="1" fontId="103" fillId="0" borderId="38" xfId="0" applyNumberFormat="1" applyFont="1" applyBorder="1" applyAlignment="1">
      <alignment horizontal="left" vertical="center"/>
    </xf>
    <xf numFmtId="2" fontId="77" fillId="0" borderId="83" xfId="42" applyNumberFormat="1" applyFont="1" applyBorder="1" applyAlignment="1">
      <alignment horizontal="left"/>
    </xf>
    <xf numFmtId="2" fontId="77" fillId="0" borderId="22" xfId="42" applyNumberFormat="1" applyFont="1" applyBorder="1" applyAlignment="1">
      <alignment horizontal="left"/>
    </xf>
    <xf numFmtId="2" fontId="77" fillId="0" borderId="84" xfId="42" applyNumberFormat="1" applyFont="1" applyBorder="1" applyAlignment="1">
      <alignment horizontal="left"/>
    </xf>
    <xf numFmtId="2" fontId="77" fillId="0" borderId="40" xfId="42" applyNumberFormat="1" applyFont="1" applyBorder="1" applyAlignment="1">
      <alignment horizontal="left"/>
    </xf>
    <xf numFmtId="1" fontId="77" fillId="0" borderId="10" xfId="0" applyNumberFormat="1" applyFont="1" applyFill="1" applyBorder="1" applyAlignment="1">
      <alignment horizontal="left"/>
    </xf>
    <xf numFmtId="1" fontId="104" fillId="0" borderId="22" xfId="0" applyNumberFormat="1" applyFont="1" applyBorder="1" applyAlignment="1">
      <alignment horizontal="left" vertical="center"/>
    </xf>
    <xf numFmtId="1" fontId="103" fillId="0" borderId="22" xfId="0" applyNumberFormat="1" applyFont="1" applyBorder="1" applyAlignment="1">
      <alignment horizontal="left" vertical="center"/>
    </xf>
    <xf numFmtId="1" fontId="77" fillId="0" borderId="84" xfId="0" applyNumberFormat="1" applyFont="1" applyBorder="1" applyAlignment="1">
      <alignment horizontal="left"/>
    </xf>
    <xf numFmtId="1" fontId="77" fillId="0" borderId="10" xfId="0" applyNumberFormat="1" applyFont="1" applyBorder="1" applyAlignment="1">
      <alignment horizontal="left" wrapText="1"/>
    </xf>
    <xf numFmtId="1" fontId="77" fillId="0" borderId="28" xfId="0" applyNumberFormat="1" applyFont="1" applyBorder="1" applyAlignment="1">
      <alignment horizontal="left" wrapText="1"/>
    </xf>
    <xf numFmtId="1" fontId="77" fillId="0" borderId="21" xfId="0" applyNumberFormat="1" applyFont="1" applyBorder="1" applyAlignment="1">
      <alignment horizontal="left" wrapText="1"/>
    </xf>
    <xf numFmtId="1" fontId="2" fillId="0" borderId="22" xfId="0" applyNumberFormat="1" applyFont="1" applyBorder="1" applyAlignment="1">
      <alignment horizontal="left"/>
    </xf>
    <xf numFmtId="1" fontId="2" fillId="0" borderId="45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28" xfId="0" applyNumberFormat="1" applyFont="1" applyBorder="1" applyAlignment="1">
      <alignment horizontal="left"/>
    </xf>
    <xf numFmtId="1" fontId="77" fillId="0" borderId="22" xfId="44" applyNumberFormat="1" applyFont="1" applyBorder="1" applyAlignment="1">
      <alignment horizontal="left"/>
    </xf>
    <xf numFmtId="2" fontId="77" fillId="0" borderId="83" xfId="44" applyNumberFormat="1" applyFont="1" applyBorder="1" applyAlignment="1">
      <alignment horizontal="left"/>
    </xf>
    <xf numFmtId="1" fontId="78" fillId="0" borderId="85" xfId="0" applyNumberFormat="1" applyFont="1" applyBorder="1" applyAlignment="1">
      <alignment horizontal="left" vertical="center"/>
    </xf>
    <xf numFmtId="1" fontId="103" fillId="0" borderId="85" xfId="0" applyNumberFormat="1" applyFont="1" applyBorder="1" applyAlignment="1">
      <alignment horizontal="left" vertical="center"/>
    </xf>
    <xf numFmtId="2" fontId="77" fillId="0" borderId="64" xfId="0" applyNumberFormat="1" applyFont="1" applyBorder="1" applyAlignment="1">
      <alignment horizontal="left"/>
    </xf>
    <xf numFmtId="1" fontId="77" fillId="0" borderId="28" xfId="44" applyNumberFormat="1" applyFont="1" applyBorder="1" applyAlignment="1">
      <alignment horizontal="left"/>
    </xf>
    <xf numFmtId="2" fontId="77" fillId="0" borderId="40" xfId="44" applyNumberFormat="1" applyFont="1" applyBorder="1" applyAlignment="1">
      <alignment horizontal="left"/>
    </xf>
    <xf numFmtId="2" fontId="78" fillId="0" borderId="84" xfId="0" applyNumberFormat="1" applyFont="1" applyBorder="1" applyAlignment="1">
      <alignment horizontal="left"/>
    </xf>
    <xf numFmtId="2" fontId="78" fillId="0" borderId="21" xfId="0" applyNumberFormat="1" applyFont="1" applyBorder="1" applyAlignment="1">
      <alignment horizontal="left"/>
    </xf>
    <xf numFmtId="2" fontId="77" fillId="0" borderId="77" xfId="0" applyNumberFormat="1" applyFont="1" applyBorder="1" applyAlignment="1">
      <alignment horizontal="left"/>
    </xf>
    <xf numFmtId="1" fontId="78" fillId="0" borderId="22" xfId="0" applyNumberFormat="1" applyFont="1" applyBorder="1" applyAlignment="1">
      <alignment horizontal="left" vertical="center"/>
    </xf>
    <xf numFmtId="0" fontId="78" fillId="0" borderId="42" xfId="0" applyFont="1" applyBorder="1" applyAlignment="1">
      <alignment horizontal="left"/>
    </xf>
    <xf numFmtId="2" fontId="78" fillId="0" borderId="39" xfId="0" applyNumberFormat="1" applyFont="1" applyBorder="1" applyAlignment="1">
      <alignment horizontal="left"/>
    </xf>
    <xf numFmtId="2" fontId="89" fillId="0" borderId="34" xfId="0" applyNumberFormat="1" applyFont="1" applyBorder="1" applyAlignment="1">
      <alignment horizontal="left" vertical="center"/>
    </xf>
    <xf numFmtId="2" fontId="89" fillId="0" borderId="43" xfId="0" applyNumberFormat="1" applyFont="1" applyBorder="1" applyAlignment="1">
      <alignment horizontal="left" vertical="center"/>
    </xf>
    <xf numFmtId="0" fontId="78" fillId="0" borderId="40" xfId="0" applyFont="1" applyBorder="1" applyAlignment="1">
      <alignment horizontal="left" vertical="center"/>
    </xf>
    <xf numFmtId="2" fontId="108" fillId="0" borderId="21" xfId="0" applyNumberFormat="1" applyFont="1" applyBorder="1" applyAlignment="1">
      <alignment horizontal="left"/>
    </xf>
    <xf numFmtId="2" fontId="108" fillId="0" borderId="20" xfId="0" applyNumberFormat="1" applyFont="1" applyBorder="1" applyAlignment="1">
      <alignment horizontal="left"/>
    </xf>
    <xf numFmtId="2" fontId="78" fillId="0" borderId="55" xfId="0" applyNumberFormat="1" applyFont="1" applyBorder="1" applyAlignment="1">
      <alignment horizontal="left" vertical="center"/>
    </xf>
    <xf numFmtId="2" fontId="78" fillId="0" borderId="61" xfId="0" applyNumberFormat="1" applyFont="1" applyBorder="1" applyAlignment="1">
      <alignment horizontal="left" vertical="center"/>
    </xf>
    <xf numFmtId="1" fontId="77" fillId="0" borderId="18" xfId="42" applyNumberFormat="1" applyFont="1" applyBorder="1" applyAlignment="1">
      <alignment horizontal="left"/>
    </xf>
    <xf numFmtId="1" fontId="78" fillId="0" borderId="55" xfId="0" applyNumberFormat="1" applyFont="1" applyBorder="1" applyAlignment="1">
      <alignment horizontal="left"/>
    </xf>
    <xf numFmtId="1" fontId="86" fillId="0" borderId="27" xfId="0" applyNumberFormat="1" applyFont="1" applyBorder="1" applyAlignment="1">
      <alignment horizontal="left" vertical="center"/>
    </xf>
    <xf numFmtId="1" fontId="86" fillId="0" borderId="25" xfId="0" applyNumberFormat="1" applyFont="1" applyBorder="1" applyAlignment="1">
      <alignment horizontal="left" vertical="center"/>
    </xf>
    <xf numFmtId="2" fontId="87" fillId="0" borderId="27" xfId="0" applyNumberFormat="1" applyFont="1" applyBorder="1" applyAlignment="1">
      <alignment horizontal="left"/>
    </xf>
    <xf numFmtId="2" fontId="100" fillId="0" borderId="82" xfId="0" applyNumberFormat="1" applyFont="1" applyBorder="1" applyAlignment="1">
      <alignment horizontal="left"/>
    </xf>
    <xf numFmtId="1" fontId="87" fillId="0" borderId="27" xfId="0" applyNumberFormat="1" applyFont="1" applyBorder="1" applyAlignment="1">
      <alignment horizontal="left"/>
    </xf>
    <xf numFmtId="1" fontId="100" fillId="0" borderId="82" xfId="0" applyNumberFormat="1" applyFont="1" applyBorder="1" applyAlignment="1">
      <alignment horizontal="left"/>
    </xf>
    <xf numFmtId="0" fontId="87" fillId="0" borderId="10" xfId="0" applyFont="1" applyBorder="1" applyAlignment="1">
      <alignment horizontal="left"/>
    </xf>
    <xf numFmtId="3" fontId="87" fillId="0" borderId="10" xfId="0" applyNumberFormat="1" applyFont="1" applyBorder="1" applyAlignment="1">
      <alignment horizontal="left"/>
    </xf>
    <xf numFmtId="0" fontId="109" fillId="0" borderId="10" xfId="0" applyFont="1" applyBorder="1" applyAlignment="1">
      <alignment horizontal="left"/>
    </xf>
    <xf numFmtId="3" fontId="100" fillId="0" borderId="21" xfId="0" applyNumberFormat="1" applyFont="1" applyBorder="1" applyAlignment="1">
      <alignment horizontal="left"/>
    </xf>
    <xf numFmtId="2" fontId="87" fillId="0" borderId="22" xfId="0" applyNumberFormat="1" applyFont="1" applyFill="1" applyBorder="1" applyAlignment="1">
      <alignment horizontal="left"/>
    </xf>
    <xf numFmtId="1" fontId="87" fillId="0" borderId="22" xfId="0" applyNumberFormat="1" applyFont="1" applyFill="1" applyBorder="1" applyAlignment="1">
      <alignment horizontal="left"/>
    </xf>
    <xf numFmtId="1" fontId="100" fillId="0" borderId="69" xfId="0" applyNumberFormat="1" applyFont="1" applyFill="1" applyBorder="1" applyAlignment="1">
      <alignment horizontal="left"/>
    </xf>
    <xf numFmtId="2" fontId="87" fillId="0" borderId="10" xfId="42" applyNumberFormat="1" applyFont="1" applyBorder="1" applyAlignment="1">
      <alignment horizontal="left"/>
    </xf>
    <xf numFmtId="1" fontId="87" fillId="0" borderId="24" xfId="0" applyNumberFormat="1" applyFont="1" applyBorder="1" applyAlignment="1">
      <alignment horizontal="left" vertical="center"/>
    </xf>
    <xf numFmtId="0" fontId="87" fillId="0" borderId="0" xfId="0" applyFont="1" applyAlignment="1">
      <alignment/>
    </xf>
    <xf numFmtId="1" fontId="4" fillId="0" borderId="10" xfId="0" applyNumberFormat="1" applyFont="1" applyBorder="1" applyAlignment="1">
      <alignment horizontal="left"/>
    </xf>
    <xf numFmtId="1" fontId="87" fillId="0" borderId="10" xfId="44" applyNumberFormat="1" applyFont="1" applyBorder="1" applyAlignment="1">
      <alignment horizontal="left"/>
    </xf>
    <xf numFmtId="1" fontId="87" fillId="0" borderId="28" xfId="44" applyNumberFormat="1" applyFont="1" applyBorder="1" applyAlignment="1">
      <alignment horizontal="left"/>
    </xf>
    <xf numFmtId="1" fontId="87" fillId="0" borderId="86" xfId="0" applyNumberFormat="1" applyFont="1" applyBorder="1" applyAlignment="1">
      <alignment horizontal="left"/>
    </xf>
    <xf numFmtId="2" fontId="87" fillId="0" borderId="29" xfId="0" applyNumberFormat="1" applyFont="1" applyBorder="1" applyAlignment="1">
      <alignment horizontal="left" wrapText="1"/>
    </xf>
    <xf numFmtId="0" fontId="87" fillId="0" borderId="35" xfId="0" applyFont="1" applyBorder="1" applyAlignment="1">
      <alignment horizontal="left"/>
    </xf>
    <xf numFmtId="1" fontId="87" fillId="0" borderId="35" xfId="0" applyNumberFormat="1" applyFont="1" applyBorder="1" applyAlignment="1">
      <alignment horizontal="left"/>
    </xf>
    <xf numFmtId="2" fontId="101" fillId="0" borderId="58" xfId="0" applyNumberFormat="1" applyFont="1" applyBorder="1" applyAlignment="1">
      <alignment horizontal="left"/>
    </xf>
    <xf numFmtId="2" fontId="78" fillId="0" borderId="22" xfId="0" applyNumberFormat="1" applyFont="1" applyBorder="1" applyAlignment="1">
      <alignment horizontal="left" vertical="center"/>
    </xf>
    <xf numFmtId="2" fontId="108" fillId="0" borderId="45" xfId="0" applyNumberFormat="1" applyFont="1" applyBorder="1" applyAlignment="1">
      <alignment horizontal="left" vertical="center"/>
    </xf>
    <xf numFmtId="2" fontId="89" fillId="0" borderId="33" xfId="0" applyNumberFormat="1" applyFont="1" applyBorder="1" applyAlignment="1">
      <alignment horizontal="left" vertical="center"/>
    </xf>
    <xf numFmtId="1" fontId="78" fillId="0" borderId="38" xfId="0" applyNumberFormat="1" applyFont="1" applyBorder="1" applyAlignment="1">
      <alignment horizontal="left"/>
    </xf>
    <xf numFmtId="0" fontId="77" fillId="0" borderId="80" xfId="0" applyFont="1" applyBorder="1" applyAlignment="1">
      <alignment horizontal="left"/>
    </xf>
    <xf numFmtId="1" fontId="85" fillId="0" borderId="16" xfId="0" applyNumberFormat="1" applyFont="1" applyBorder="1" applyAlignment="1">
      <alignment horizontal="left"/>
    </xf>
    <xf numFmtId="1" fontId="85" fillId="0" borderId="10" xfId="0" applyNumberFormat="1" applyFont="1" applyBorder="1" applyAlignment="1">
      <alignment horizontal="left"/>
    </xf>
    <xf numFmtId="1" fontId="85" fillId="0" borderId="28" xfId="0" applyNumberFormat="1" applyFont="1" applyBorder="1" applyAlignment="1">
      <alignment horizontal="left"/>
    </xf>
    <xf numFmtId="0" fontId="80" fillId="0" borderId="55" xfId="0" applyFont="1" applyBorder="1" applyAlignment="1">
      <alignment horizontal="left"/>
    </xf>
    <xf numFmtId="1" fontId="78" fillId="0" borderId="22" xfId="0" applyNumberFormat="1" applyFont="1" applyFill="1" applyBorder="1" applyAlignment="1">
      <alignment horizontal="left"/>
    </xf>
    <xf numFmtId="1" fontId="78" fillId="0" borderId="45" xfId="0" applyNumberFormat="1" applyFont="1" applyFill="1" applyBorder="1" applyAlignment="1">
      <alignment horizontal="left"/>
    </xf>
    <xf numFmtId="1" fontId="77" fillId="0" borderId="80" xfId="0" applyNumberFormat="1" applyFont="1" applyFill="1" applyBorder="1" applyAlignment="1">
      <alignment horizontal="left"/>
    </xf>
    <xf numFmtId="1" fontId="78" fillId="0" borderId="10" xfId="42" applyNumberFormat="1" applyFont="1" applyBorder="1" applyAlignment="1">
      <alignment horizontal="left"/>
    </xf>
    <xf numFmtId="1" fontId="78" fillId="0" borderId="28" xfId="42" applyNumberFormat="1" applyFont="1" applyBorder="1" applyAlignment="1">
      <alignment horizontal="left"/>
    </xf>
    <xf numFmtId="1" fontId="77" fillId="0" borderId="55" xfId="42" applyNumberFormat="1" applyFont="1" applyBorder="1" applyAlignment="1">
      <alignment horizontal="left"/>
    </xf>
    <xf numFmtId="1" fontId="78" fillId="0" borderId="27" xfId="0" applyNumberFormat="1" applyFont="1" applyBorder="1" applyAlignment="1">
      <alignment horizontal="left" vertical="center"/>
    </xf>
    <xf numFmtId="1" fontId="78" fillId="0" borderId="87" xfId="0" applyNumberFormat="1" applyFont="1" applyBorder="1" applyAlignment="1">
      <alignment horizontal="left" vertical="center"/>
    </xf>
    <xf numFmtId="1" fontId="89" fillId="0" borderId="60" xfId="0" applyNumberFormat="1" applyFont="1" applyBorder="1" applyAlignment="1">
      <alignment horizontal="left" vertical="center"/>
    </xf>
    <xf numFmtId="1" fontId="78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1" fontId="77" fillId="0" borderId="38" xfId="0" applyNumberFormat="1" applyFont="1" applyBorder="1" applyAlignment="1">
      <alignment horizontal="left"/>
    </xf>
    <xf numFmtId="1" fontId="77" fillId="0" borderId="45" xfId="0" applyNumberFormat="1" applyFont="1" applyBorder="1" applyAlignment="1">
      <alignment horizontal="left"/>
    </xf>
    <xf numFmtId="1" fontId="2" fillId="0" borderId="80" xfId="0" applyNumberFormat="1" applyFont="1" applyBorder="1" applyAlignment="1">
      <alignment horizontal="left"/>
    </xf>
    <xf numFmtId="1" fontId="77" fillId="0" borderId="38" xfId="44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left"/>
    </xf>
    <xf numFmtId="3" fontId="80" fillId="0" borderId="40" xfId="0" applyNumberFormat="1" applyFont="1" applyBorder="1" applyAlignment="1">
      <alignment horizontal="left"/>
    </xf>
    <xf numFmtId="3" fontId="80" fillId="0" borderId="42" xfId="0" applyNumberFormat="1" applyFont="1" applyBorder="1" applyAlignment="1">
      <alignment horizontal="left"/>
    </xf>
    <xf numFmtId="3" fontId="80" fillId="0" borderId="10" xfId="0" applyNumberFormat="1" applyFont="1" applyBorder="1" applyAlignment="1">
      <alignment horizontal="left"/>
    </xf>
    <xf numFmtId="3" fontId="80" fillId="0" borderId="12" xfId="0" applyNumberFormat="1" applyFont="1" applyBorder="1" applyAlignment="1">
      <alignment horizontal="left"/>
    </xf>
    <xf numFmtId="172" fontId="80" fillId="0" borderId="10" xfId="0" applyNumberFormat="1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3" fontId="80" fillId="0" borderId="21" xfId="0" applyNumberFormat="1" applyFont="1" applyBorder="1" applyAlignment="1">
      <alignment horizontal="left"/>
    </xf>
    <xf numFmtId="3" fontId="80" fillId="0" borderId="39" xfId="0" applyNumberFormat="1" applyFont="1" applyBorder="1" applyAlignment="1">
      <alignment horizontal="left"/>
    </xf>
    <xf numFmtId="2" fontId="5" fillId="0" borderId="80" xfId="0" applyNumberFormat="1" applyFont="1" applyBorder="1" applyAlignment="1">
      <alignment horizontal="left"/>
    </xf>
    <xf numFmtId="1" fontId="89" fillId="0" borderId="34" xfId="0" applyNumberFormat="1" applyFont="1" applyBorder="1" applyAlignment="1">
      <alignment horizontal="left" vertical="center"/>
    </xf>
    <xf numFmtId="1" fontId="89" fillId="0" borderId="74" xfId="0" applyNumberFormat="1" applyFont="1" applyBorder="1" applyAlignment="1">
      <alignment horizontal="left" vertical="center"/>
    </xf>
    <xf numFmtId="0" fontId="5" fillId="0" borderId="55" xfId="0" applyFont="1" applyBorder="1" applyAlignment="1">
      <alignment horizontal="left"/>
    </xf>
    <xf numFmtId="1" fontId="77" fillId="0" borderId="16" xfId="0" applyNumberFormat="1" applyFont="1" applyFill="1" applyBorder="1" applyAlignment="1">
      <alignment horizontal="left"/>
    </xf>
    <xf numFmtId="1" fontId="77" fillId="0" borderId="18" xfId="0" applyNumberFormat="1" applyFont="1" applyFill="1" applyBorder="1" applyAlignment="1">
      <alignment horizontal="left"/>
    </xf>
    <xf numFmtId="1" fontId="77" fillId="0" borderId="28" xfId="0" applyNumberFormat="1" applyFont="1" applyFill="1" applyBorder="1" applyAlignment="1">
      <alignment horizontal="left"/>
    </xf>
    <xf numFmtId="1" fontId="5" fillId="0" borderId="55" xfId="0" applyNumberFormat="1" applyFont="1" applyFill="1" applyBorder="1" applyAlignment="1">
      <alignment horizontal="left"/>
    </xf>
    <xf numFmtId="1" fontId="88" fillId="0" borderId="13" xfId="0" applyNumberFormat="1" applyFont="1" applyBorder="1" applyAlignment="1">
      <alignment horizontal="left"/>
    </xf>
    <xf numFmtId="1" fontId="86" fillId="0" borderId="13" xfId="42" applyNumberFormat="1" applyFont="1" applyBorder="1" applyAlignment="1">
      <alignment horizontal="left"/>
    </xf>
    <xf numFmtId="2" fontId="82" fillId="0" borderId="77" xfId="0" applyNumberFormat="1" applyFont="1" applyBorder="1" applyAlignment="1">
      <alignment horizontal="left"/>
    </xf>
    <xf numFmtId="2" fontId="77" fillId="0" borderId="16" xfId="0" applyNumberFormat="1" applyFont="1" applyBorder="1" applyAlignment="1">
      <alignment horizontal="left" vertical="center"/>
    </xf>
    <xf numFmtId="2" fontId="77" fillId="0" borderId="18" xfId="0" applyNumberFormat="1" applyFont="1" applyBorder="1" applyAlignment="1">
      <alignment horizontal="left" vertical="center"/>
    </xf>
    <xf numFmtId="2" fontId="77" fillId="0" borderId="28" xfId="0" applyNumberFormat="1" applyFont="1" applyBorder="1" applyAlignment="1">
      <alignment horizontal="left" vertical="center"/>
    </xf>
    <xf numFmtId="2" fontId="78" fillId="0" borderId="0" xfId="0" applyNumberFormat="1" applyFont="1" applyAlignment="1">
      <alignment/>
    </xf>
    <xf numFmtId="1" fontId="86" fillId="0" borderId="67" xfId="0" applyNumberFormat="1" applyFont="1" applyFill="1" applyBorder="1" applyAlignment="1">
      <alignment horizontal="center" vertical="center" wrapText="1"/>
    </xf>
    <xf numFmtId="1" fontId="86" fillId="0" borderId="67" xfId="0" applyNumberFormat="1" applyFont="1" applyFill="1" applyBorder="1" applyAlignment="1">
      <alignment horizontal="center" vertical="justify" wrapText="1"/>
    </xf>
    <xf numFmtId="1" fontId="86" fillId="0" borderId="77" xfId="0" applyNumberFormat="1" applyFont="1" applyFill="1" applyBorder="1" applyAlignment="1">
      <alignment horizontal="center" vertical="center" wrapText="1"/>
    </xf>
    <xf numFmtId="1" fontId="86" fillId="0" borderId="52" xfId="0" applyNumberFormat="1" applyFont="1" applyFill="1" applyBorder="1" applyAlignment="1">
      <alignment horizontal="center" vertical="center" wrapText="1"/>
    </xf>
    <xf numFmtId="2" fontId="100" fillId="0" borderId="61" xfId="0" applyNumberFormat="1" applyFont="1" applyBorder="1" applyAlignment="1">
      <alignment horizontal="left" vertical="center"/>
    </xf>
    <xf numFmtId="1" fontId="87" fillId="0" borderId="55" xfId="0" applyNumberFormat="1" applyFont="1" applyBorder="1" applyAlignment="1">
      <alignment horizontal="left"/>
    </xf>
    <xf numFmtId="2" fontId="100" fillId="0" borderId="59" xfId="0" applyNumberFormat="1" applyFont="1" applyBorder="1" applyAlignment="1">
      <alignment horizontal="left" vertical="center"/>
    </xf>
    <xf numFmtId="1" fontId="100" fillId="0" borderId="62" xfId="0" applyNumberFormat="1" applyFont="1" applyBorder="1" applyAlignment="1">
      <alignment horizontal="left"/>
    </xf>
    <xf numFmtId="1" fontId="100" fillId="0" borderId="72" xfId="0" applyNumberFormat="1" applyFont="1" applyBorder="1" applyAlignment="1">
      <alignment horizontal="left"/>
    </xf>
    <xf numFmtId="1" fontId="87" fillId="0" borderId="48" xfId="0" applyNumberFormat="1" applyFont="1" applyBorder="1" applyAlignment="1">
      <alignment horizontal="left"/>
    </xf>
    <xf numFmtId="0" fontId="86" fillId="0" borderId="83" xfId="0" applyFont="1" applyBorder="1" applyAlignment="1">
      <alignment horizontal="left" vertical="center"/>
    </xf>
    <xf numFmtId="1" fontId="83" fillId="0" borderId="12" xfId="0" applyNumberFormat="1" applyFont="1" applyBorder="1" applyAlignment="1">
      <alignment horizontal="left"/>
    </xf>
    <xf numFmtId="0" fontId="85" fillId="0" borderId="24" xfId="0" applyFont="1" applyBorder="1" applyAlignment="1">
      <alignment horizontal="left"/>
    </xf>
    <xf numFmtId="0" fontId="100" fillId="0" borderId="62" xfId="0" applyFont="1" applyBorder="1" applyAlignment="1">
      <alignment horizontal="left"/>
    </xf>
    <xf numFmtId="1" fontId="84" fillId="0" borderId="58" xfId="0" applyNumberFormat="1" applyFont="1" applyFill="1" applyBorder="1" applyAlignment="1">
      <alignment horizontal="center" vertical="center" wrapText="1"/>
    </xf>
    <xf numFmtId="0" fontId="81" fillId="0" borderId="51" xfId="0" applyFont="1" applyBorder="1" applyAlignment="1">
      <alignment horizontal="left"/>
    </xf>
    <xf numFmtId="1" fontId="86" fillId="0" borderId="60" xfId="0" applyNumberFormat="1" applyFont="1" applyFill="1" applyBorder="1" applyAlignment="1">
      <alignment horizontal="center" vertical="center" wrapText="1"/>
    </xf>
    <xf numFmtId="1" fontId="86" fillId="0" borderId="58" xfId="0" applyNumberFormat="1" applyFont="1" applyFill="1" applyBorder="1" applyAlignment="1">
      <alignment horizontal="center" vertical="center" wrapText="1"/>
    </xf>
    <xf numFmtId="2" fontId="107" fillId="0" borderId="86" xfId="0" applyNumberFormat="1" applyFont="1" applyBorder="1" applyAlignment="1">
      <alignment vertical="center"/>
    </xf>
    <xf numFmtId="2" fontId="82" fillId="0" borderId="51" xfId="0" applyNumberFormat="1" applyFont="1" applyBorder="1" applyAlignment="1">
      <alignment vertical="center"/>
    </xf>
    <xf numFmtId="0" fontId="84" fillId="0" borderId="85" xfId="0" applyFont="1" applyBorder="1" applyAlignment="1">
      <alignment vertical="center"/>
    </xf>
    <xf numFmtId="2" fontId="82" fillId="0" borderId="27" xfId="0" applyNumberFormat="1" applyFont="1" applyBorder="1" applyAlignment="1">
      <alignment vertical="center"/>
    </xf>
    <xf numFmtId="2" fontId="84" fillId="0" borderId="27" xfId="0" applyNumberFormat="1" applyFont="1" applyBorder="1" applyAlignment="1">
      <alignment vertical="center"/>
    </xf>
    <xf numFmtId="2" fontId="107" fillId="0" borderId="27" xfId="0" applyNumberFormat="1" applyFont="1" applyBorder="1" applyAlignment="1">
      <alignment vertical="center"/>
    </xf>
    <xf numFmtId="2" fontId="82" fillId="0" borderId="87" xfId="0" applyNumberFormat="1" applyFont="1" applyBorder="1" applyAlignment="1">
      <alignment vertical="center"/>
    </xf>
    <xf numFmtId="0" fontId="82" fillId="0" borderId="19" xfId="0" applyFont="1" applyBorder="1" applyAlignment="1">
      <alignment horizontal="center"/>
    </xf>
    <xf numFmtId="3" fontId="110" fillId="0" borderId="25" xfId="0" applyNumberFormat="1" applyFont="1" applyBorder="1" applyAlignment="1">
      <alignment horizontal="right"/>
    </xf>
    <xf numFmtId="0" fontId="82" fillId="0" borderId="25" xfId="0" applyFont="1" applyBorder="1" applyAlignment="1">
      <alignment/>
    </xf>
    <xf numFmtId="3" fontId="107" fillId="0" borderId="25" xfId="0" applyNumberFormat="1" applyFont="1" applyBorder="1" applyAlignment="1">
      <alignment horizontal="right"/>
    </xf>
    <xf numFmtId="172" fontId="110" fillId="0" borderId="25" xfId="0" applyNumberFormat="1" applyFont="1" applyBorder="1" applyAlignment="1">
      <alignment horizontal="right"/>
    </xf>
    <xf numFmtId="3" fontId="95" fillId="0" borderId="25" xfId="0" applyNumberFormat="1" applyFont="1" applyBorder="1" applyAlignment="1">
      <alignment horizontal="right"/>
    </xf>
    <xf numFmtId="3" fontId="110" fillId="0" borderId="76" xfId="0" applyNumberFormat="1" applyFont="1" applyBorder="1" applyAlignment="1">
      <alignment horizontal="right"/>
    </xf>
    <xf numFmtId="3" fontId="107" fillId="0" borderId="62" xfId="0" applyNumberFormat="1" applyFont="1" applyBorder="1" applyAlignment="1">
      <alignment horizontal="right"/>
    </xf>
    <xf numFmtId="2" fontId="78" fillId="0" borderId="21" xfId="0" applyNumberFormat="1" applyFont="1" applyBorder="1" applyAlignment="1">
      <alignment horizontal="left" vertical="center"/>
    </xf>
    <xf numFmtId="2" fontId="78" fillId="0" borderId="69" xfId="0" applyNumberFormat="1" applyFont="1" applyBorder="1" applyAlignment="1">
      <alignment horizontal="left" vertical="center"/>
    </xf>
    <xf numFmtId="1" fontId="86" fillId="0" borderId="76" xfId="0" applyNumberFormat="1" applyFont="1" applyBorder="1" applyAlignment="1">
      <alignment horizontal="left"/>
    </xf>
    <xf numFmtId="1" fontId="86" fillId="0" borderId="33" xfId="0" applyNumberFormat="1" applyFont="1" applyBorder="1" applyAlignment="1">
      <alignment horizontal="left"/>
    </xf>
    <xf numFmtId="1" fontId="86" fillId="0" borderId="26" xfId="0" applyNumberFormat="1" applyFont="1" applyBorder="1" applyAlignment="1">
      <alignment horizontal="left"/>
    </xf>
    <xf numFmtId="2" fontId="100" fillId="0" borderId="72" xfId="0" applyNumberFormat="1" applyFont="1" applyBorder="1" applyAlignment="1">
      <alignment horizontal="left" vertical="center"/>
    </xf>
    <xf numFmtId="1" fontId="87" fillId="0" borderId="75" xfId="0" applyNumberFormat="1" applyFont="1" applyBorder="1" applyAlignment="1">
      <alignment horizontal="left"/>
    </xf>
    <xf numFmtId="2" fontId="87" fillId="0" borderId="75" xfId="0" applyNumberFormat="1" applyFont="1" applyBorder="1" applyAlignment="1">
      <alignment horizontal="left"/>
    </xf>
    <xf numFmtId="2" fontId="100" fillId="0" borderId="79" xfId="0" applyNumberFormat="1" applyFont="1" applyBorder="1" applyAlignment="1">
      <alignment horizontal="left" vertical="center"/>
    </xf>
    <xf numFmtId="2" fontId="87" fillId="0" borderId="45" xfId="0" applyNumberFormat="1" applyFont="1" applyBorder="1" applyAlignment="1">
      <alignment horizontal="left"/>
    </xf>
    <xf numFmtId="2" fontId="87" fillId="0" borderId="75" xfId="44" applyNumberFormat="1" applyFont="1" applyBorder="1" applyAlignment="1">
      <alignment horizontal="left"/>
    </xf>
    <xf numFmtId="1" fontId="87" fillId="0" borderId="76" xfId="0" applyNumberFormat="1" applyFont="1" applyBorder="1" applyAlignment="1">
      <alignment horizontal="left"/>
    </xf>
    <xf numFmtId="0" fontId="87" fillId="0" borderId="74" xfId="0" applyFont="1" applyBorder="1" applyAlignment="1">
      <alignment horizontal="left"/>
    </xf>
    <xf numFmtId="2" fontId="87" fillId="0" borderId="75" xfId="0" applyNumberFormat="1" applyFont="1" applyBorder="1" applyAlignment="1">
      <alignment horizontal="left" vertical="center"/>
    </xf>
    <xf numFmtId="0" fontId="87" fillId="0" borderId="34" xfId="0" applyFont="1" applyBorder="1" applyAlignment="1">
      <alignment horizontal="left"/>
    </xf>
    <xf numFmtId="0" fontId="86" fillId="0" borderId="86" xfId="0" applyFont="1" applyBorder="1" applyAlignment="1">
      <alignment horizontal="left"/>
    </xf>
    <xf numFmtId="0" fontId="86" fillId="0" borderId="23" xfId="0" applyFont="1" applyBorder="1" applyAlignment="1">
      <alignment horizontal="left"/>
    </xf>
    <xf numFmtId="1" fontId="89" fillId="0" borderId="61" xfId="42" applyNumberFormat="1" applyFont="1" applyBorder="1" applyAlignment="1">
      <alignment horizontal="left"/>
    </xf>
    <xf numFmtId="1" fontId="89" fillId="0" borderId="62" xfId="42" applyNumberFormat="1" applyFont="1" applyBorder="1" applyAlignment="1">
      <alignment horizontal="left"/>
    </xf>
    <xf numFmtId="0" fontId="84" fillId="0" borderId="37" xfId="0" applyFont="1" applyBorder="1" applyAlignment="1">
      <alignment vertical="center"/>
    </xf>
    <xf numFmtId="1" fontId="86" fillId="0" borderId="57" xfId="0" applyNumberFormat="1" applyFont="1" applyFill="1" applyBorder="1" applyAlignment="1">
      <alignment horizontal="center" vertical="center" wrapText="1"/>
    </xf>
    <xf numFmtId="2" fontId="77" fillId="0" borderId="18" xfId="44" applyNumberFormat="1" applyFont="1" applyBorder="1" applyAlignment="1">
      <alignment horizontal="left"/>
    </xf>
    <xf numFmtId="2" fontId="77" fillId="0" borderId="12" xfId="0" applyNumberFormat="1" applyFont="1" applyBorder="1" applyAlignment="1">
      <alignment horizontal="left"/>
    </xf>
    <xf numFmtId="2" fontId="77" fillId="0" borderId="75" xfId="0" applyNumberFormat="1" applyFont="1" applyBorder="1" applyAlignment="1">
      <alignment horizontal="left"/>
    </xf>
    <xf numFmtId="2" fontId="78" fillId="0" borderId="48" xfId="0" applyNumberFormat="1" applyFont="1" applyBorder="1" applyAlignment="1">
      <alignment horizontal="left"/>
    </xf>
    <xf numFmtId="1" fontId="111" fillId="0" borderId="0" xfId="0" applyNumberFormat="1" applyFont="1" applyAlignment="1">
      <alignment horizontal="left"/>
    </xf>
    <xf numFmtId="0" fontId="100" fillId="0" borderId="67" xfId="0" applyFont="1" applyBorder="1" applyAlignment="1">
      <alignment horizontal="left"/>
    </xf>
    <xf numFmtId="0" fontId="100" fillId="0" borderId="60" xfId="0" applyFont="1" applyBorder="1" applyAlignment="1">
      <alignment horizontal="left"/>
    </xf>
    <xf numFmtId="1" fontId="88" fillId="0" borderId="81" xfId="0" applyNumberFormat="1" applyFont="1" applyBorder="1" applyAlignment="1">
      <alignment horizontal="left"/>
    </xf>
    <xf numFmtId="1" fontId="84" fillId="0" borderId="16" xfId="0" applyNumberFormat="1" applyFont="1" applyBorder="1" applyAlignment="1">
      <alignment horizontal="left" vertical="center"/>
    </xf>
    <xf numFmtId="1" fontId="84" fillId="0" borderId="38" xfId="0" applyNumberFormat="1" applyFont="1" applyBorder="1" applyAlignment="1">
      <alignment horizontal="left" vertical="center"/>
    </xf>
    <xf numFmtId="1" fontId="82" fillId="0" borderId="10" xfId="0" applyNumberFormat="1" applyFont="1" applyBorder="1" applyAlignment="1">
      <alignment horizontal="left"/>
    </xf>
    <xf numFmtId="1" fontId="110" fillId="0" borderId="16" xfId="0" applyNumberFormat="1" applyFont="1" applyBorder="1" applyAlignment="1">
      <alignment horizontal="left"/>
    </xf>
    <xf numFmtId="1" fontId="110" fillId="0" borderId="38" xfId="0" applyNumberFormat="1" applyFont="1" applyBorder="1" applyAlignment="1">
      <alignment horizontal="left"/>
    </xf>
    <xf numFmtId="1" fontId="84" fillId="0" borderId="10" xfId="0" applyNumberFormat="1" applyFont="1" applyBorder="1" applyAlignment="1">
      <alignment horizontal="left" vertical="center"/>
    </xf>
    <xf numFmtId="1" fontId="83" fillId="0" borderId="56" xfId="0" applyNumberFormat="1" applyFont="1" applyBorder="1" applyAlignment="1">
      <alignment horizontal="left"/>
    </xf>
    <xf numFmtId="1" fontId="82" fillId="0" borderId="10" xfId="0" applyNumberFormat="1" applyFont="1" applyBorder="1" applyAlignment="1">
      <alignment horizontal="left" vertical="center"/>
    </xf>
    <xf numFmtId="1" fontId="82" fillId="0" borderId="10" xfId="44" applyNumberFormat="1" applyFont="1" applyBorder="1" applyAlignment="1">
      <alignment horizontal="left"/>
    </xf>
    <xf numFmtId="1" fontId="82" fillId="0" borderId="10" xfId="0" applyNumberFormat="1" applyFont="1" applyBorder="1" applyAlignment="1">
      <alignment horizontal="left" wrapText="1"/>
    </xf>
    <xf numFmtId="1" fontId="110" fillId="0" borderId="10" xfId="0" applyNumberFormat="1" applyFont="1" applyBorder="1" applyAlignment="1">
      <alignment horizontal="left"/>
    </xf>
    <xf numFmtId="1" fontId="82" fillId="0" borderId="10" xfId="42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81" fillId="0" borderId="15" xfId="0" applyNumberFormat="1" applyFont="1" applyBorder="1" applyAlignment="1">
      <alignment horizontal="left"/>
    </xf>
    <xf numFmtId="1" fontId="84" fillId="0" borderId="10" xfId="0" applyNumberFormat="1" applyFont="1" applyBorder="1" applyAlignment="1">
      <alignment horizontal="left"/>
    </xf>
    <xf numFmtId="1" fontId="83" fillId="0" borderId="78" xfId="0" applyNumberFormat="1" applyFont="1" applyBorder="1" applyAlignment="1">
      <alignment horizontal="left"/>
    </xf>
    <xf numFmtId="1" fontId="82" fillId="0" borderId="28" xfId="0" applyNumberFormat="1" applyFont="1" applyBorder="1" applyAlignment="1">
      <alignment horizontal="left" vertical="center"/>
    </xf>
    <xf numFmtId="1" fontId="82" fillId="0" borderId="28" xfId="0" applyNumberFormat="1" applyFont="1" applyBorder="1" applyAlignment="1">
      <alignment horizontal="left"/>
    </xf>
    <xf numFmtId="1" fontId="82" fillId="0" borderId="28" xfId="44" applyNumberFormat="1" applyFont="1" applyBorder="1" applyAlignment="1">
      <alignment horizontal="left"/>
    </xf>
    <xf numFmtId="1" fontId="6" fillId="0" borderId="28" xfId="0" applyNumberFormat="1" applyFont="1" applyBorder="1" applyAlignment="1">
      <alignment horizontal="left"/>
    </xf>
    <xf numFmtId="1" fontId="82" fillId="0" borderId="28" xfId="0" applyNumberFormat="1" applyFont="1" applyBorder="1" applyAlignment="1">
      <alignment horizontal="left" wrapText="1"/>
    </xf>
    <xf numFmtId="1" fontId="110" fillId="0" borderId="28" xfId="0" applyNumberFormat="1" applyFont="1" applyBorder="1" applyAlignment="1">
      <alignment horizontal="left"/>
    </xf>
    <xf numFmtId="1" fontId="102" fillId="0" borderId="77" xfId="0" applyNumberFormat="1" applyFont="1" applyBorder="1" applyAlignment="1">
      <alignment horizontal="left"/>
    </xf>
    <xf numFmtId="1" fontId="111" fillId="0" borderId="46" xfId="0" applyNumberFormat="1" applyFont="1" applyBorder="1" applyAlignment="1">
      <alignment horizontal="left"/>
    </xf>
    <xf numFmtId="1" fontId="111" fillId="0" borderId="88" xfId="0" applyNumberFormat="1" applyFont="1" applyBorder="1" applyAlignment="1">
      <alignment horizontal="left"/>
    </xf>
    <xf numFmtId="1" fontId="111" fillId="0" borderId="77" xfId="0" applyNumberFormat="1" applyFont="1" applyBorder="1" applyAlignment="1">
      <alignment horizontal="left"/>
    </xf>
    <xf numFmtId="1" fontId="86" fillId="0" borderId="81" xfId="0" applyNumberFormat="1" applyFont="1" applyBorder="1" applyAlignment="1">
      <alignment horizontal="left"/>
    </xf>
    <xf numFmtId="1" fontId="82" fillId="0" borderId="40" xfId="0" applyNumberFormat="1" applyFont="1" applyBorder="1" applyAlignment="1">
      <alignment horizontal="left" vertical="center"/>
    </xf>
    <xf numFmtId="1" fontId="82" fillId="0" borderId="83" xfId="0" applyNumberFormat="1" applyFont="1" applyBorder="1" applyAlignment="1">
      <alignment horizontal="left" vertical="center"/>
    </xf>
    <xf numFmtId="1" fontId="82" fillId="0" borderId="40" xfId="0" applyNumberFormat="1" applyFont="1" applyBorder="1" applyAlignment="1">
      <alignment horizontal="left"/>
    </xf>
    <xf numFmtId="1" fontId="82" fillId="0" borderId="83" xfId="0" applyNumberFormat="1" applyFont="1" applyBorder="1" applyAlignment="1">
      <alignment horizontal="left"/>
    </xf>
    <xf numFmtId="1" fontId="82" fillId="0" borderId="40" xfId="42" applyNumberFormat="1" applyFont="1" applyBorder="1" applyAlignment="1">
      <alignment horizontal="left"/>
    </xf>
    <xf numFmtId="1" fontId="82" fillId="0" borderId="83" xfId="42" applyNumberFormat="1" applyFont="1" applyBorder="1" applyAlignment="1">
      <alignment horizontal="left"/>
    </xf>
    <xf numFmtId="1" fontId="82" fillId="0" borderId="40" xfId="0" applyNumberFormat="1" applyFont="1" applyBorder="1" applyAlignment="1">
      <alignment horizontal="left" wrapText="1"/>
    </xf>
    <xf numFmtId="1" fontId="81" fillId="0" borderId="82" xfId="0" applyNumberFormat="1" applyFont="1" applyBorder="1" applyAlignment="1">
      <alignment horizontal="left"/>
    </xf>
    <xf numFmtId="1" fontId="81" fillId="0" borderId="21" xfId="0" applyNumberFormat="1" applyFont="1" applyBorder="1" applyAlignment="1">
      <alignment horizontal="left"/>
    </xf>
    <xf numFmtId="1" fontId="81" fillId="0" borderId="84" xfId="0" applyNumberFormat="1" applyFont="1" applyBorder="1" applyAlignment="1">
      <alignment horizontal="left"/>
    </xf>
    <xf numFmtId="0" fontId="88" fillId="0" borderId="58" xfId="0" applyFont="1" applyBorder="1" applyAlignment="1">
      <alignment horizontal="left"/>
    </xf>
    <xf numFmtId="0" fontId="100" fillId="0" borderId="67" xfId="0" applyFont="1" applyBorder="1" applyAlignment="1">
      <alignment horizontal="left" vertical="justify" wrapText="1"/>
    </xf>
    <xf numFmtId="0" fontId="100" fillId="0" borderId="58" xfId="0" applyFont="1" applyBorder="1" applyAlignment="1">
      <alignment horizontal="left" vertical="justify" wrapText="1"/>
    </xf>
    <xf numFmtId="0" fontId="85" fillId="0" borderId="37" xfId="0" applyFont="1" applyBorder="1" applyAlignment="1">
      <alignment horizontal="left"/>
    </xf>
    <xf numFmtId="0" fontId="77" fillId="0" borderId="17" xfId="0" applyFont="1" applyBorder="1" applyAlignment="1">
      <alignment/>
    </xf>
    <xf numFmtId="0" fontId="77" fillId="0" borderId="38" xfId="0" applyFont="1" applyBorder="1" applyAlignment="1">
      <alignment/>
    </xf>
    <xf numFmtId="0" fontId="77" fillId="0" borderId="16" xfId="0" applyFont="1" applyBorder="1" applyAlignment="1">
      <alignment/>
    </xf>
    <xf numFmtId="0" fontId="77" fillId="0" borderId="18" xfId="0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22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3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7" fillId="0" borderId="27" xfId="0" applyFont="1" applyBorder="1" applyAlignment="1">
      <alignment/>
    </xf>
    <xf numFmtId="0" fontId="78" fillId="0" borderId="13" xfId="0" applyFont="1" applyBorder="1" applyAlignment="1">
      <alignment horizontal="center"/>
    </xf>
    <xf numFmtId="0" fontId="78" fillId="0" borderId="22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0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13" xfId="0" applyFont="1" applyBorder="1" applyAlignment="1">
      <alignment/>
    </xf>
    <xf numFmtId="0" fontId="78" fillId="0" borderId="22" xfId="0" applyFont="1" applyBorder="1" applyAlignment="1">
      <alignment/>
    </xf>
    <xf numFmtId="0" fontId="85" fillId="0" borderId="51" xfId="0" applyFont="1" applyBorder="1" applyAlignment="1">
      <alignment horizontal="left"/>
    </xf>
    <xf numFmtId="0" fontId="78" fillId="0" borderId="68" xfId="0" applyFont="1" applyBorder="1" applyAlignment="1">
      <alignment/>
    </xf>
    <xf numFmtId="0" fontId="78" fillId="0" borderId="84" xfId="0" applyFont="1" applyBorder="1" applyAlignment="1">
      <alignment/>
    </xf>
    <xf numFmtId="0" fontId="78" fillId="0" borderId="21" xfId="0" applyFont="1" applyBorder="1" applyAlignment="1">
      <alignment/>
    </xf>
    <xf numFmtId="0" fontId="78" fillId="0" borderId="39" xfId="0" applyFont="1" applyBorder="1" applyAlignment="1">
      <alignment/>
    </xf>
    <xf numFmtId="1" fontId="86" fillId="0" borderId="67" xfId="0" applyNumberFormat="1" applyFont="1" applyFill="1" applyBorder="1" applyAlignment="1">
      <alignment horizontal="center" vertical="center" wrapText="1"/>
    </xf>
    <xf numFmtId="1" fontId="78" fillId="0" borderId="24" xfId="0" applyNumberFormat="1" applyFont="1" applyBorder="1" applyAlignment="1">
      <alignment horizontal="left" vertical="center"/>
    </xf>
    <xf numFmtId="1" fontId="77" fillId="0" borderId="16" xfId="0" applyNumberFormat="1" applyFont="1" applyBorder="1" applyAlignment="1">
      <alignment horizontal="left" vertical="center" shrinkToFit="1"/>
    </xf>
    <xf numFmtId="1" fontId="77" fillId="0" borderId="38" xfId="0" applyNumberFormat="1" applyFont="1" applyBorder="1" applyAlignment="1">
      <alignment horizontal="left" vertical="center" shrinkToFit="1"/>
    </xf>
    <xf numFmtId="1" fontId="77" fillId="0" borderId="10" xfId="0" applyNumberFormat="1" applyFont="1" applyBorder="1" applyAlignment="1">
      <alignment horizontal="left" vertical="top" shrinkToFit="1"/>
    </xf>
    <xf numFmtId="1" fontId="104" fillId="0" borderId="38" xfId="0" applyNumberFormat="1" applyFont="1" applyBorder="1" applyAlignment="1">
      <alignment horizontal="left" vertical="center" shrinkToFit="1"/>
    </xf>
    <xf numFmtId="1" fontId="77" fillId="0" borderId="10" xfId="0" applyNumberFormat="1" applyFont="1" applyBorder="1" applyAlignment="1">
      <alignment horizontal="left" vertical="top" wrapText="1"/>
    </xf>
    <xf numFmtId="1" fontId="77" fillId="0" borderId="56" xfId="0" applyNumberFormat="1" applyFont="1" applyBorder="1" applyAlignment="1">
      <alignment horizontal="left"/>
    </xf>
    <xf numFmtId="1" fontId="77" fillId="0" borderId="28" xfId="0" applyNumberFormat="1" applyFont="1" applyBorder="1" applyAlignment="1">
      <alignment horizontal="left" vertical="top" wrapText="1"/>
    </xf>
    <xf numFmtId="1" fontId="77" fillId="0" borderId="78" xfId="0" applyNumberFormat="1" applyFont="1" applyBorder="1" applyAlignment="1">
      <alignment horizontal="left"/>
    </xf>
    <xf numFmtId="1" fontId="103" fillId="0" borderId="21" xfId="0" applyNumberFormat="1" applyFont="1" applyBorder="1" applyAlignment="1">
      <alignment horizontal="left" vertical="center"/>
    </xf>
    <xf numFmtId="1" fontId="103" fillId="0" borderId="84" xfId="0" applyNumberFormat="1" applyFont="1" applyBorder="1" applyAlignment="1">
      <alignment horizontal="left" vertical="center"/>
    </xf>
    <xf numFmtId="1" fontId="103" fillId="0" borderId="36" xfId="0" applyNumberFormat="1" applyFont="1" applyBorder="1" applyAlignment="1">
      <alignment horizontal="left" vertical="center"/>
    </xf>
    <xf numFmtId="2" fontId="103" fillId="0" borderId="36" xfId="0" applyNumberFormat="1" applyFont="1" applyBorder="1" applyAlignment="1">
      <alignment horizontal="left" vertical="center"/>
    </xf>
    <xf numFmtId="1" fontId="103" fillId="0" borderId="45" xfId="0" applyNumberFormat="1" applyFont="1" applyBorder="1" applyAlignment="1">
      <alignment horizontal="left" vertical="center"/>
    </xf>
    <xf numFmtId="1" fontId="104" fillId="0" borderId="37" xfId="0" applyNumberFormat="1" applyFont="1" applyBorder="1" applyAlignment="1">
      <alignment horizontal="left" vertical="center" shrinkToFit="1"/>
    </xf>
    <xf numFmtId="1" fontId="103" fillId="0" borderId="75" xfId="0" applyNumberFormat="1" applyFont="1" applyBorder="1" applyAlignment="1">
      <alignment horizontal="left" vertical="center"/>
    </xf>
    <xf numFmtId="2" fontId="77" fillId="0" borderId="40" xfId="0" applyNumberFormat="1" applyFont="1" applyBorder="1" applyAlignment="1">
      <alignment horizontal="left" vertical="center" wrapText="1"/>
    </xf>
    <xf numFmtId="2" fontId="77" fillId="0" borderId="83" xfId="0" applyNumberFormat="1" applyFont="1" applyBorder="1" applyAlignment="1">
      <alignment horizontal="left" vertical="center" wrapText="1"/>
    </xf>
    <xf numFmtId="1" fontId="77" fillId="0" borderId="22" xfId="0" applyNumberFormat="1" applyFont="1" applyBorder="1" applyAlignment="1">
      <alignment horizontal="left" wrapText="1"/>
    </xf>
    <xf numFmtId="2" fontId="78" fillId="0" borderId="10" xfId="0" applyNumberFormat="1" applyFont="1" applyBorder="1" applyAlignment="1">
      <alignment horizontal="left" vertical="top" shrinkToFit="1"/>
    </xf>
    <xf numFmtId="2" fontId="78" fillId="0" borderId="22" xfId="0" applyNumberFormat="1" applyFont="1" applyBorder="1" applyAlignment="1">
      <alignment horizontal="left" vertical="top" shrinkToFit="1"/>
    </xf>
    <xf numFmtId="2" fontId="78" fillId="0" borderId="21" xfId="0" applyNumberFormat="1" applyFont="1" applyBorder="1" applyAlignment="1">
      <alignment horizontal="left" vertical="top" shrinkToFit="1"/>
    </xf>
    <xf numFmtId="2" fontId="78" fillId="0" borderId="84" xfId="0" applyNumberFormat="1" applyFont="1" applyBorder="1" applyAlignment="1">
      <alignment horizontal="left" vertical="top" shrinkToFit="1"/>
    </xf>
    <xf numFmtId="1" fontId="77" fillId="0" borderId="21" xfId="0" applyNumberFormat="1" applyFont="1" applyBorder="1" applyAlignment="1">
      <alignment horizontal="left"/>
    </xf>
    <xf numFmtId="2" fontId="77" fillId="0" borderId="22" xfId="44" applyNumberFormat="1" applyFont="1" applyBorder="1" applyAlignment="1">
      <alignment horizontal="left"/>
    </xf>
    <xf numFmtId="2" fontId="77" fillId="0" borderId="21" xfId="44" applyNumberFormat="1" applyFont="1" applyBorder="1" applyAlignment="1">
      <alignment horizontal="left"/>
    </xf>
    <xf numFmtId="2" fontId="77" fillId="0" borderId="84" xfId="44" applyNumberFormat="1" applyFont="1" applyBorder="1" applyAlignment="1">
      <alignment horizontal="left"/>
    </xf>
    <xf numFmtId="2" fontId="2" fillId="0" borderId="21" xfId="0" applyNumberFormat="1" applyFont="1" applyBorder="1" applyAlignment="1">
      <alignment horizontal="left"/>
    </xf>
    <xf numFmtId="2" fontId="2" fillId="0" borderId="84" xfId="0" applyNumberFormat="1" applyFont="1" applyBorder="1" applyAlignment="1">
      <alignment horizontal="left"/>
    </xf>
    <xf numFmtId="1" fontId="84" fillId="0" borderId="37" xfId="0" applyNumberFormat="1" applyFont="1" applyBorder="1" applyAlignment="1">
      <alignment horizontal="left" vertical="center"/>
    </xf>
    <xf numFmtId="1" fontId="84" fillId="0" borderId="34" xfId="0" applyNumberFormat="1" applyFont="1" applyBorder="1" applyAlignment="1">
      <alignment horizontal="left" vertical="center"/>
    </xf>
    <xf numFmtId="1" fontId="84" fillId="0" borderId="86" xfId="0" applyNumberFormat="1" applyFont="1" applyBorder="1" applyAlignment="1">
      <alignment horizontal="left" vertical="center"/>
    </xf>
    <xf numFmtId="1" fontId="84" fillId="0" borderId="24" xfId="0" applyNumberFormat="1" applyFont="1" applyBorder="1" applyAlignment="1">
      <alignment horizontal="left" vertical="center"/>
    </xf>
    <xf numFmtId="1" fontId="84" fillId="0" borderId="21" xfId="0" applyNumberFormat="1" applyFont="1" applyBorder="1" applyAlignment="1">
      <alignment horizontal="left" vertical="center"/>
    </xf>
    <xf numFmtId="1" fontId="84" fillId="0" borderId="51" xfId="0" applyNumberFormat="1" applyFont="1" applyBorder="1" applyAlignment="1">
      <alignment horizontal="left" vertical="center"/>
    </xf>
    <xf numFmtId="1" fontId="84" fillId="0" borderId="55" xfId="0" applyNumberFormat="1" applyFont="1" applyBorder="1" applyAlignment="1">
      <alignment horizontal="left" vertical="center"/>
    </xf>
    <xf numFmtId="1" fontId="84" fillId="0" borderId="23" xfId="0" applyNumberFormat="1" applyFont="1" applyBorder="1" applyAlignment="1">
      <alignment horizontal="left" vertical="center"/>
    </xf>
    <xf numFmtId="1" fontId="84" fillId="0" borderId="61" xfId="0" applyNumberFormat="1" applyFont="1" applyBorder="1" applyAlignment="1">
      <alignment horizontal="left" vertical="center"/>
    </xf>
    <xf numFmtId="1" fontId="84" fillId="0" borderId="58" xfId="0" applyNumberFormat="1" applyFont="1" applyBorder="1" applyAlignment="1">
      <alignment horizontal="left" vertical="center"/>
    </xf>
    <xf numFmtId="0" fontId="112" fillId="0" borderId="70" xfId="0" applyFont="1" applyBorder="1" applyAlignment="1">
      <alignment/>
    </xf>
    <xf numFmtId="0" fontId="113" fillId="0" borderId="0" xfId="0" applyFont="1" applyFill="1" applyBorder="1" applyAlignment="1">
      <alignment horizontal="left"/>
    </xf>
    <xf numFmtId="0" fontId="84" fillId="0" borderId="77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1" fontId="86" fillId="0" borderId="67" xfId="0" applyNumberFormat="1" applyFont="1" applyFill="1" applyBorder="1" applyAlignment="1">
      <alignment horizontal="center" vertical="justify" wrapText="1"/>
    </xf>
    <xf numFmtId="1" fontId="86" fillId="0" borderId="62" xfId="0" applyNumberFormat="1" applyFont="1" applyFill="1" applyBorder="1" applyAlignment="1">
      <alignment horizontal="center" vertical="justify" wrapText="1"/>
    </xf>
    <xf numFmtId="1" fontId="86" fillId="0" borderId="67" xfId="0" applyNumberFormat="1" applyFont="1" applyFill="1" applyBorder="1" applyAlignment="1">
      <alignment horizontal="center" vertical="center" wrapText="1"/>
    </xf>
    <xf numFmtId="1" fontId="86" fillId="0" borderId="62" xfId="0" applyNumberFormat="1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1" fontId="78" fillId="0" borderId="60" xfId="0" applyNumberFormat="1" applyFont="1" applyBorder="1" applyAlignment="1">
      <alignment horizontal="left" vertical="center" wrapText="1"/>
    </xf>
    <xf numFmtId="1" fontId="78" fillId="0" borderId="60" xfId="0" applyNumberFormat="1" applyFont="1" applyFill="1" applyBorder="1" applyAlignment="1">
      <alignment horizontal="center" vertical="center" wrapText="1"/>
    </xf>
    <xf numFmtId="1" fontId="78" fillId="0" borderId="62" xfId="0" applyNumberFormat="1" applyFont="1" applyFill="1" applyBorder="1" applyAlignment="1">
      <alignment horizontal="center" vertical="center" wrapText="1"/>
    </xf>
    <xf numFmtId="1" fontId="78" fillId="0" borderId="67" xfId="0" applyNumberFormat="1" applyFont="1" applyBorder="1" applyAlignment="1">
      <alignment horizontal="center" vertical="center" wrapText="1"/>
    </xf>
    <xf numFmtId="1" fontId="78" fillId="0" borderId="62" xfId="0" applyNumberFormat="1" applyFont="1" applyBorder="1" applyAlignment="1">
      <alignment horizontal="center" vertical="center" wrapText="1"/>
    </xf>
    <xf numFmtId="1" fontId="78" fillId="0" borderId="61" xfId="0" applyNumberFormat="1" applyFont="1" applyFill="1" applyBorder="1" applyAlignment="1">
      <alignment horizontal="left" vertical="center" wrapText="1"/>
    </xf>
    <xf numFmtId="1" fontId="78" fillId="0" borderId="72" xfId="0" applyNumberFormat="1" applyFont="1" applyFill="1" applyBorder="1" applyAlignment="1">
      <alignment horizontal="left" vertical="center" wrapText="1"/>
    </xf>
    <xf numFmtId="1" fontId="78" fillId="0" borderId="67" xfId="0" applyNumberFormat="1" applyFont="1" applyBorder="1" applyAlignment="1">
      <alignment horizontal="left" vertical="center" wrapText="1"/>
    </xf>
    <xf numFmtId="1" fontId="78" fillId="0" borderId="62" xfId="0" applyNumberFormat="1" applyFont="1" applyBorder="1" applyAlignment="1">
      <alignment horizontal="left" vertical="center" wrapText="1"/>
    </xf>
    <xf numFmtId="1" fontId="78" fillId="0" borderId="77" xfId="0" applyNumberFormat="1" applyFont="1" applyBorder="1" applyAlignment="1">
      <alignment horizontal="left" vertical="center" wrapText="1"/>
    </xf>
    <xf numFmtId="1" fontId="78" fillId="0" borderId="57" xfId="0" applyNumberFormat="1" applyFont="1" applyBorder="1" applyAlignment="1">
      <alignment horizontal="left" vertical="center" wrapText="1"/>
    </xf>
    <xf numFmtId="1" fontId="78" fillId="0" borderId="60" xfId="0" applyNumberFormat="1" applyFont="1" applyBorder="1" applyAlignment="1">
      <alignment horizontal="center" vertical="center" wrapText="1"/>
    </xf>
    <xf numFmtId="1" fontId="78" fillId="0" borderId="0" xfId="0" applyNumberFormat="1" applyFont="1" applyFill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78" fillId="0" borderId="44" xfId="0" applyNumberFormat="1" applyFont="1" applyBorder="1" applyAlignment="1">
      <alignment horizontal="left" vertical="center"/>
    </xf>
    <xf numFmtId="1" fontId="78" fillId="0" borderId="24" xfId="0" applyNumberFormat="1" applyFont="1" applyBorder="1" applyAlignment="1">
      <alignment horizontal="left" vertical="center"/>
    </xf>
    <xf numFmtId="1" fontId="78" fillId="0" borderId="77" xfId="0" applyNumberFormat="1" applyFont="1" applyBorder="1" applyAlignment="1">
      <alignment horizontal="justify" vertical="justify" wrapText="1"/>
    </xf>
    <xf numFmtId="1" fontId="78" fillId="0" borderId="57" xfId="0" applyNumberFormat="1" applyFont="1" applyBorder="1" applyAlignment="1">
      <alignment horizontal="justify" vertical="justify" wrapText="1"/>
    </xf>
    <xf numFmtId="1" fontId="78" fillId="0" borderId="77" xfId="0" applyNumberFormat="1" applyFont="1" applyFill="1" applyBorder="1" applyAlignment="1">
      <alignment horizontal="left" vertical="center" wrapText="1"/>
    </xf>
    <xf numFmtId="1" fontId="78" fillId="0" borderId="57" xfId="0" applyNumberFormat="1" applyFont="1" applyFill="1" applyBorder="1" applyAlignment="1">
      <alignment horizontal="left" vertical="center" wrapText="1"/>
    </xf>
    <xf numFmtId="1" fontId="78" fillId="0" borderId="60" xfId="0" applyNumberFormat="1" applyFont="1" applyFill="1" applyBorder="1" applyAlignment="1">
      <alignment horizontal="left" vertical="center" wrapText="1"/>
    </xf>
    <xf numFmtId="1" fontId="78" fillId="0" borderId="67" xfId="0" applyNumberFormat="1" applyFont="1" applyBorder="1" applyAlignment="1">
      <alignment horizontal="center" vertical="justify" wrapText="1"/>
    </xf>
    <xf numFmtId="1" fontId="78" fillId="0" borderId="62" xfId="0" applyNumberFormat="1" applyFont="1" applyBorder="1" applyAlignment="1">
      <alignment horizontal="center" vertical="justify" wrapText="1"/>
    </xf>
    <xf numFmtId="1" fontId="78" fillId="0" borderId="77" xfId="0" applyNumberFormat="1" applyFont="1" applyBorder="1" applyAlignment="1">
      <alignment horizontal="center" vertical="center" wrapText="1"/>
    </xf>
    <xf numFmtId="1" fontId="78" fillId="0" borderId="57" xfId="0" applyNumberFormat="1" applyFont="1" applyBorder="1" applyAlignment="1">
      <alignment horizontal="center" vertical="center" wrapText="1"/>
    </xf>
    <xf numFmtId="1" fontId="78" fillId="0" borderId="52" xfId="0" applyNumberFormat="1" applyFont="1" applyBorder="1" applyAlignment="1">
      <alignment horizontal="center" vertical="center" wrapText="1"/>
    </xf>
    <xf numFmtId="0" fontId="78" fillId="0" borderId="52" xfId="0" applyFont="1" applyBorder="1" applyAlignment="1">
      <alignment horizontal="center" vertical="center" wrapText="1"/>
    </xf>
    <xf numFmtId="0" fontId="78" fillId="0" borderId="57" xfId="0" applyFont="1" applyBorder="1" applyAlignment="1">
      <alignment horizontal="center" vertical="center" wrapText="1"/>
    </xf>
    <xf numFmtId="0" fontId="86" fillId="0" borderId="67" xfId="0" applyFont="1" applyBorder="1" applyAlignment="1">
      <alignment horizontal="center" vertical="center" wrapText="1"/>
    </xf>
    <xf numFmtId="0" fontId="86" fillId="0" borderId="62" xfId="0" applyFont="1" applyBorder="1" applyAlignment="1">
      <alignment horizontal="center" vertical="center" wrapText="1"/>
    </xf>
    <xf numFmtId="0" fontId="86" fillId="0" borderId="81" xfId="0" applyFont="1" applyBorder="1" applyAlignment="1">
      <alignment horizontal="center" vertical="center" wrapText="1"/>
    </xf>
    <xf numFmtId="0" fontId="86" fillId="0" borderId="63" xfId="0" applyFont="1" applyBorder="1" applyAlignment="1">
      <alignment horizontal="center" vertical="center" wrapText="1"/>
    </xf>
    <xf numFmtId="0" fontId="86" fillId="0" borderId="77" xfId="0" applyFont="1" applyBorder="1" applyAlignment="1">
      <alignment horizontal="center" vertical="center" wrapText="1"/>
    </xf>
    <xf numFmtId="0" fontId="86" fillId="0" borderId="57" xfId="0" applyFont="1" applyBorder="1" applyAlignment="1">
      <alignment horizontal="center" vertical="center" wrapText="1"/>
    </xf>
    <xf numFmtId="0" fontId="86" fillId="0" borderId="52" xfId="0" applyFont="1" applyBorder="1" applyAlignment="1">
      <alignment horizontal="center" vertical="center" wrapText="1"/>
    </xf>
    <xf numFmtId="0" fontId="86" fillId="0" borderId="52" xfId="0" applyFont="1" applyFill="1" applyBorder="1" applyAlignment="1">
      <alignment horizontal="center" vertical="center" wrapText="1"/>
    </xf>
    <xf numFmtId="0" fontId="86" fillId="0" borderId="67" xfId="0" applyFont="1" applyFill="1" applyBorder="1" applyAlignment="1">
      <alignment horizontal="center" vertical="center" wrapText="1"/>
    </xf>
    <xf numFmtId="0" fontId="86" fillId="0" borderId="62" xfId="0" applyFont="1" applyFill="1" applyBorder="1" applyAlignment="1">
      <alignment horizontal="center" vertical="center" wrapText="1"/>
    </xf>
    <xf numFmtId="0" fontId="86" fillId="0" borderId="60" xfId="0" applyFont="1" applyBorder="1" applyAlignment="1">
      <alignment horizontal="center" vertical="center" wrapText="1"/>
    </xf>
    <xf numFmtId="0" fontId="114" fillId="0" borderId="0" xfId="0" applyFont="1" applyBorder="1" applyAlignment="1">
      <alignment horizontal="left"/>
    </xf>
    <xf numFmtId="0" fontId="115" fillId="0" borderId="50" xfId="0" applyFont="1" applyBorder="1" applyAlignment="1">
      <alignment horizontal="center" vertical="center"/>
    </xf>
    <xf numFmtId="0" fontId="115" fillId="0" borderId="86" xfId="0" applyFont="1" applyBorder="1" applyAlignment="1">
      <alignment horizontal="center" vertical="center"/>
    </xf>
    <xf numFmtId="0" fontId="86" fillId="0" borderId="67" xfId="0" applyFont="1" applyBorder="1" applyAlignment="1">
      <alignment horizontal="justify" vertical="justify" wrapText="1"/>
    </xf>
    <xf numFmtId="0" fontId="86" fillId="0" borderId="62" xfId="0" applyFont="1" applyBorder="1" applyAlignment="1">
      <alignment horizontal="justify" vertical="justify" wrapText="1"/>
    </xf>
    <xf numFmtId="0" fontId="86" fillId="0" borderId="46" xfId="0" applyFont="1" applyFill="1" applyBorder="1" applyAlignment="1">
      <alignment horizontal="center" vertical="center" wrapText="1"/>
    </xf>
    <xf numFmtId="0" fontId="86" fillId="0" borderId="48" xfId="0" applyFont="1" applyFill="1" applyBorder="1" applyAlignment="1">
      <alignment horizontal="center" vertical="center" wrapText="1"/>
    </xf>
    <xf numFmtId="1" fontId="86" fillId="0" borderId="77" xfId="0" applyNumberFormat="1" applyFont="1" applyBorder="1" applyAlignment="1">
      <alignment horizontal="center" vertical="center" wrapText="1"/>
    </xf>
    <xf numFmtId="1" fontId="86" fillId="0" borderId="52" xfId="0" applyNumberFormat="1" applyFont="1" applyBorder="1" applyAlignment="1">
      <alignment horizontal="center" vertical="center" wrapText="1"/>
    </xf>
    <xf numFmtId="1" fontId="86" fillId="0" borderId="77" xfId="0" applyNumberFormat="1" applyFont="1" applyFill="1" applyBorder="1" applyAlignment="1">
      <alignment horizontal="center" vertical="center" wrapText="1"/>
    </xf>
    <xf numFmtId="1" fontId="86" fillId="0" borderId="57" xfId="0" applyNumberFormat="1" applyFont="1" applyFill="1" applyBorder="1" applyAlignment="1">
      <alignment horizontal="center" vertical="center" wrapText="1"/>
    </xf>
    <xf numFmtId="1" fontId="86" fillId="0" borderId="52" xfId="0" applyNumberFormat="1" applyFont="1" applyFill="1" applyBorder="1" applyAlignment="1">
      <alignment horizontal="center" vertical="center" wrapText="1"/>
    </xf>
    <xf numFmtId="1" fontId="114" fillId="0" borderId="0" xfId="0" applyNumberFormat="1" applyFont="1" applyBorder="1" applyAlignment="1">
      <alignment horizontal="left"/>
    </xf>
    <xf numFmtId="1" fontId="86" fillId="0" borderId="77" xfId="0" applyNumberFormat="1" applyFont="1" applyBorder="1" applyAlignment="1">
      <alignment horizontal="center" vertical="center"/>
    </xf>
    <xf numFmtId="1" fontId="86" fillId="0" borderId="31" xfId="0" applyNumberFormat="1" applyFont="1" applyBorder="1" applyAlignment="1">
      <alignment horizontal="center" vertical="center"/>
    </xf>
    <xf numFmtId="1" fontId="86" fillId="0" borderId="77" xfId="0" applyNumberFormat="1" applyFont="1" applyBorder="1" applyAlignment="1">
      <alignment horizontal="justify" vertical="justify" wrapText="1"/>
    </xf>
    <xf numFmtId="1" fontId="86" fillId="0" borderId="52" xfId="0" applyNumberFormat="1" applyFont="1" applyBorder="1" applyAlignment="1">
      <alignment horizontal="justify" vertical="justify" wrapText="1"/>
    </xf>
    <xf numFmtId="1" fontId="86" fillId="0" borderId="67" xfId="0" applyNumberFormat="1" applyFont="1" applyBorder="1" applyAlignment="1">
      <alignment horizontal="center" vertical="center" wrapText="1"/>
    </xf>
    <xf numFmtId="1" fontId="86" fillId="0" borderId="62" xfId="0" applyNumberFormat="1" applyFont="1" applyBorder="1" applyAlignment="1">
      <alignment horizontal="center" vertical="center" wrapText="1"/>
    </xf>
    <xf numFmtId="1" fontId="86" fillId="0" borderId="57" xfId="0" applyNumberFormat="1" applyFont="1" applyBorder="1" applyAlignment="1">
      <alignment horizontal="center" vertical="center" wrapText="1"/>
    </xf>
    <xf numFmtId="1" fontId="113" fillId="0" borderId="0" xfId="0" applyNumberFormat="1" applyFont="1" applyAlignment="1">
      <alignment horizontal="left"/>
    </xf>
    <xf numFmtId="1" fontId="114" fillId="0" borderId="0" xfId="0" applyNumberFormat="1" applyFont="1" applyAlignment="1">
      <alignment horizontal="left"/>
    </xf>
    <xf numFmtId="1" fontId="86" fillId="0" borderId="45" xfId="0" applyNumberFormat="1" applyFont="1" applyBorder="1" applyAlignment="1">
      <alignment horizontal="left" vertical="center"/>
    </xf>
    <xf numFmtId="1" fontId="86" fillId="0" borderId="80" xfId="0" applyNumberFormat="1" applyFont="1" applyBorder="1" applyAlignment="1">
      <alignment horizontal="left" vertical="center"/>
    </xf>
    <xf numFmtId="1" fontId="86" fillId="0" borderId="67" xfId="0" applyNumberFormat="1" applyFont="1" applyBorder="1" applyAlignment="1">
      <alignment horizontal="justify" vertical="justify" wrapText="1"/>
    </xf>
    <xf numFmtId="1" fontId="86" fillId="0" borderId="60" xfId="0" applyNumberFormat="1" applyFont="1" applyBorder="1" applyAlignment="1">
      <alignment horizontal="justify" vertical="justify" wrapText="1"/>
    </xf>
    <xf numFmtId="1" fontId="86" fillId="0" borderId="67" xfId="0" applyNumberFormat="1" applyFont="1" applyBorder="1" applyAlignment="1">
      <alignment horizontal="left" vertical="center" wrapText="1"/>
    </xf>
    <xf numFmtId="1" fontId="86" fillId="0" borderId="60" xfId="0" applyNumberFormat="1" applyFont="1" applyBorder="1" applyAlignment="1">
      <alignment horizontal="left" vertical="center" wrapText="1"/>
    </xf>
    <xf numFmtId="1" fontId="86" fillId="0" borderId="40" xfId="0" applyNumberFormat="1" applyFont="1" applyBorder="1" applyAlignment="1">
      <alignment horizontal="left" vertical="center" wrapText="1"/>
    </xf>
    <xf numFmtId="1" fontId="86" fillId="0" borderId="42" xfId="0" applyNumberFormat="1" applyFont="1" applyBorder="1" applyAlignment="1">
      <alignment horizontal="left" vertical="center" wrapText="1"/>
    </xf>
    <xf numFmtId="1" fontId="86" fillId="0" borderId="77" xfId="0" applyNumberFormat="1" applyFont="1" applyBorder="1" applyAlignment="1">
      <alignment horizontal="left" vertical="center" wrapText="1"/>
    </xf>
    <xf numFmtId="1" fontId="86" fillId="0" borderId="52" xfId="0" applyNumberFormat="1" applyFont="1" applyBorder="1" applyAlignment="1">
      <alignment horizontal="left" vertical="center" wrapText="1"/>
    </xf>
    <xf numFmtId="1" fontId="86" fillId="0" borderId="61" xfId="0" applyNumberFormat="1" applyFont="1" applyBorder="1" applyAlignment="1">
      <alignment horizontal="left" vertical="center" wrapText="1"/>
    </xf>
    <xf numFmtId="1" fontId="86" fillId="0" borderId="79" xfId="0" applyNumberFormat="1" applyFont="1" applyBorder="1" applyAlignment="1">
      <alignment horizontal="left" vertical="center" wrapText="1"/>
    </xf>
    <xf numFmtId="1" fontId="86" fillId="0" borderId="62" xfId="0" applyNumberFormat="1" applyFont="1" applyBorder="1" applyAlignment="1">
      <alignment horizontal="left" vertical="center" wrapText="1"/>
    </xf>
    <xf numFmtId="1" fontId="86" fillId="0" borderId="46" xfId="0" applyNumberFormat="1" applyFont="1" applyFill="1" applyBorder="1" applyAlignment="1">
      <alignment horizontal="left" vertical="center" wrapText="1"/>
    </xf>
    <xf numFmtId="1" fontId="86" fillId="0" borderId="48" xfId="0" applyNumberFormat="1" applyFont="1" applyFill="1" applyBorder="1" applyAlignment="1">
      <alignment horizontal="left" vertical="center" wrapText="1"/>
    </xf>
    <xf numFmtId="1" fontId="86" fillId="0" borderId="77" xfId="0" applyNumberFormat="1" applyFont="1" applyFill="1" applyBorder="1" applyAlignment="1">
      <alignment horizontal="left" vertical="center" wrapText="1"/>
    </xf>
    <xf numFmtId="1" fontId="86" fillId="0" borderId="52" xfId="0" applyNumberFormat="1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84" fillId="0" borderId="44" xfId="0" applyFont="1" applyBorder="1" applyAlignment="1">
      <alignment horizontal="center" vertical="center"/>
    </xf>
    <xf numFmtId="0" fontId="84" fillId="0" borderId="51" xfId="0" applyFont="1" applyBorder="1" applyAlignment="1">
      <alignment horizontal="center" vertical="center"/>
    </xf>
    <xf numFmtId="0" fontId="86" fillId="0" borderId="77" xfId="0" applyFont="1" applyBorder="1" applyAlignment="1">
      <alignment horizontal="justify" vertical="justify" wrapText="1"/>
    </xf>
    <xf numFmtId="0" fontId="86" fillId="0" borderId="57" xfId="0" applyFont="1" applyBorder="1" applyAlignment="1">
      <alignment horizontal="justify" vertical="justify" wrapText="1"/>
    </xf>
    <xf numFmtId="0" fontId="86" fillId="0" borderId="77" xfId="0" applyFont="1" applyFill="1" applyBorder="1" applyAlignment="1">
      <alignment horizontal="center" vertical="center" wrapText="1"/>
    </xf>
    <xf numFmtId="0" fontId="86" fillId="0" borderId="57" xfId="0" applyFont="1" applyFill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0" fontId="86" fillId="0" borderId="48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95" fillId="0" borderId="0" xfId="0" applyFont="1" applyAlignment="1">
      <alignment horizontal="left"/>
    </xf>
    <xf numFmtId="0" fontId="97" fillId="0" borderId="50" xfId="0" applyFont="1" applyBorder="1" applyAlignment="1">
      <alignment horizontal="center"/>
    </xf>
    <xf numFmtId="0" fontId="97" fillId="0" borderId="23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/>
    </xf>
    <xf numFmtId="0" fontId="97" fillId="0" borderId="0" xfId="0" applyFont="1" applyBorder="1" applyAlignment="1">
      <alignment horizontal="left"/>
    </xf>
    <xf numFmtId="0" fontId="78" fillId="0" borderId="50" xfId="0" applyFont="1" applyBorder="1" applyAlignment="1">
      <alignment horizontal="left" vertical="center"/>
    </xf>
    <xf numFmtId="0" fontId="78" fillId="0" borderId="86" xfId="0" applyFont="1" applyBorder="1" applyAlignment="1">
      <alignment horizontal="left" vertical="center"/>
    </xf>
    <xf numFmtId="0" fontId="2" fillId="0" borderId="81" xfId="0" applyFont="1" applyBorder="1" applyAlignment="1">
      <alignment horizontal="justify" vertical="justify" wrapText="1"/>
    </xf>
    <xf numFmtId="0" fontId="2" fillId="0" borderId="64" xfId="0" applyFont="1" applyBorder="1" applyAlignment="1">
      <alignment horizontal="justify" vertical="justify" wrapText="1"/>
    </xf>
    <xf numFmtId="0" fontId="2" fillId="0" borderId="6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left" vertical="center" wrapText="1"/>
    </xf>
    <xf numFmtId="0" fontId="78" fillId="0" borderId="42" xfId="0" applyFont="1" applyBorder="1" applyAlignment="1">
      <alignment horizontal="left" vertical="center" wrapText="1"/>
    </xf>
    <xf numFmtId="0" fontId="78" fillId="0" borderId="65" xfId="0" applyFont="1" applyFill="1" applyBorder="1" applyAlignment="1">
      <alignment horizontal="left" vertical="center" wrapText="1"/>
    </xf>
    <xf numFmtId="0" fontId="78" fillId="0" borderId="41" xfId="0" applyFont="1" applyFill="1" applyBorder="1" applyAlignment="1">
      <alignment horizontal="left" vertical="center" wrapText="1"/>
    </xf>
    <xf numFmtId="0" fontId="78" fillId="0" borderId="65" xfId="0" applyFont="1" applyBorder="1" applyAlignment="1">
      <alignment horizontal="left" vertical="center" wrapText="1"/>
    </xf>
    <xf numFmtId="0" fontId="78" fillId="0" borderId="83" xfId="0" applyFont="1" applyBorder="1" applyAlignment="1">
      <alignment horizontal="left" vertical="center" wrapText="1"/>
    </xf>
    <xf numFmtId="0" fontId="78" fillId="0" borderId="41" xfId="0" applyFont="1" applyBorder="1" applyAlignment="1">
      <alignment horizontal="left" vertical="center" wrapText="1"/>
    </xf>
    <xf numFmtId="0" fontId="78" fillId="0" borderId="40" xfId="0" applyFont="1" applyFill="1" applyBorder="1" applyAlignment="1">
      <alignment horizontal="left" vertical="center" wrapText="1"/>
    </xf>
    <xf numFmtId="0" fontId="78" fillId="0" borderId="42" xfId="0" applyFont="1" applyFill="1" applyBorder="1" applyAlignment="1">
      <alignment horizontal="left" vertical="center" wrapText="1"/>
    </xf>
    <xf numFmtId="0" fontId="78" fillId="0" borderId="83" xfId="0" applyFont="1" applyFill="1" applyBorder="1" applyAlignment="1">
      <alignment horizontal="left" vertical="center" wrapText="1"/>
    </xf>
    <xf numFmtId="0" fontId="78" fillId="0" borderId="81" xfId="0" applyFont="1" applyBorder="1" applyAlignment="1">
      <alignment horizontal="justify" vertical="justify" wrapText="1"/>
    </xf>
    <xf numFmtId="0" fontId="78" fillId="0" borderId="63" xfId="0" applyFont="1" applyBorder="1" applyAlignment="1">
      <alignment horizontal="justify" vertical="justify" wrapText="1"/>
    </xf>
    <xf numFmtId="0" fontId="78" fillId="0" borderId="64" xfId="0" applyFont="1" applyBorder="1" applyAlignment="1">
      <alignment horizontal="left" vertical="center" wrapText="1"/>
    </xf>
    <xf numFmtId="0" fontId="78" fillId="0" borderId="81" xfId="0" applyFont="1" applyBorder="1" applyAlignment="1">
      <alignment horizontal="left" vertical="center" wrapText="1"/>
    </xf>
    <xf numFmtId="1" fontId="78" fillId="0" borderId="40" xfId="0" applyNumberFormat="1" applyFont="1" applyBorder="1" applyAlignment="1">
      <alignment horizontal="left" vertical="center" wrapText="1"/>
    </xf>
    <xf numFmtId="1" fontId="78" fillId="0" borderId="41" xfId="0" applyNumberFormat="1" applyFont="1" applyBorder="1" applyAlignment="1">
      <alignment horizontal="left" vertical="center" wrapText="1"/>
    </xf>
    <xf numFmtId="1" fontId="78" fillId="0" borderId="65" xfId="0" applyNumberFormat="1" applyFont="1" applyBorder="1" applyAlignment="1">
      <alignment horizontal="left" vertical="center" wrapText="1"/>
    </xf>
    <xf numFmtId="0" fontId="2" fillId="0" borderId="77" xfId="0" applyFont="1" applyBorder="1" applyAlignment="1">
      <alignment horizontal="justify" vertical="justify" wrapText="1"/>
    </xf>
    <xf numFmtId="0" fontId="2" fillId="0" borderId="52" xfId="0" applyFont="1" applyBorder="1" applyAlignment="1">
      <alignment horizontal="justify" vertical="justify" wrapText="1"/>
    </xf>
    <xf numFmtId="0" fontId="2" fillId="0" borderId="77" xfId="0" applyFont="1" applyFill="1" applyBorder="1" applyAlignment="1">
      <alignment horizontal="justify" vertical="justify" wrapText="1"/>
    </xf>
    <xf numFmtId="0" fontId="2" fillId="0" borderId="57" xfId="0" applyFont="1" applyFill="1" applyBorder="1" applyAlignment="1">
      <alignment horizontal="justify" vertical="justify" wrapText="1"/>
    </xf>
    <xf numFmtId="0" fontId="2" fillId="0" borderId="52" xfId="0" applyFont="1" applyFill="1" applyBorder="1" applyAlignment="1">
      <alignment horizontal="justify" vertical="justify" wrapText="1"/>
    </xf>
    <xf numFmtId="0" fontId="7" fillId="0" borderId="0" xfId="0" applyFont="1" applyBorder="1" applyAlignment="1">
      <alignment horizontal="left"/>
    </xf>
    <xf numFmtId="0" fontId="84" fillId="0" borderId="50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justify" vertical="justify" wrapText="1"/>
    </xf>
    <xf numFmtId="0" fontId="78" fillId="0" borderId="77" xfId="0" applyFont="1" applyBorder="1" applyAlignment="1">
      <alignment horizontal="left" vertical="center" wrapText="1"/>
    </xf>
    <xf numFmtId="0" fontId="78" fillId="0" borderId="57" xfId="0" applyFont="1" applyBorder="1" applyAlignment="1">
      <alignment horizontal="left" vertical="center" wrapText="1"/>
    </xf>
    <xf numFmtId="0" fontId="78" fillId="0" borderId="52" xfId="0" applyFont="1" applyBorder="1" applyAlignment="1">
      <alignment horizontal="left" vertical="center" wrapText="1"/>
    </xf>
    <xf numFmtId="0" fontId="78" fillId="0" borderId="77" xfId="0" applyFont="1" applyFill="1" applyBorder="1" applyAlignment="1">
      <alignment horizontal="center" vertical="center" wrapText="1"/>
    </xf>
    <xf numFmtId="0" fontId="78" fillId="0" borderId="57" xfId="0" applyFont="1" applyFill="1" applyBorder="1" applyAlignment="1">
      <alignment horizontal="center" vertical="center" wrapText="1"/>
    </xf>
    <xf numFmtId="0" fontId="78" fillId="0" borderId="77" xfId="0" applyFont="1" applyBorder="1" applyAlignment="1">
      <alignment horizontal="center" vertical="center" wrapText="1"/>
    </xf>
    <xf numFmtId="0" fontId="78" fillId="0" borderId="52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77" xfId="0" applyFont="1" applyBorder="1" applyAlignment="1">
      <alignment horizontal="left" vertical="center"/>
    </xf>
    <xf numFmtId="0" fontId="78" fillId="0" borderId="31" xfId="0" applyFont="1" applyBorder="1" applyAlignment="1">
      <alignment horizontal="left" vertical="center"/>
    </xf>
    <xf numFmtId="0" fontId="78" fillId="0" borderId="77" xfId="0" applyFont="1" applyBorder="1" applyAlignment="1">
      <alignment horizontal="justify" vertical="justify" wrapText="1"/>
    </xf>
    <xf numFmtId="0" fontId="78" fillId="0" borderId="52" xfId="0" applyFont="1" applyBorder="1" applyAlignment="1">
      <alignment horizontal="justify" vertical="justify" wrapText="1"/>
    </xf>
    <xf numFmtId="1" fontId="78" fillId="0" borderId="52" xfId="0" applyNumberFormat="1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8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X6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140625" defaultRowHeight="15"/>
  <cols>
    <col min="1" max="1" width="65.00390625" style="74" bestFit="1" customWidth="1"/>
    <col min="2" max="2" width="3.8515625" style="74" customWidth="1"/>
    <col min="3" max="12" width="14.57421875" style="74" bestFit="1" customWidth="1"/>
    <col min="13" max="14" width="14.57421875" style="316" bestFit="1" customWidth="1"/>
    <col min="15" max="33" width="14.57421875" style="74" bestFit="1" customWidth="1"/>
    <col min="34" max="34" width="15.7109375" style="74" bestFit="1" customWidth="1"/>
    <col min="35" max="48" width="14.57421875" style="74" bestFit="1" customWidth="1"/>
    <col min="49" max="49" width="15.00390625" style="74" bestFit="1" customWidth="1"/>
    <col min="50" max="50" width="15.7109375" style="74" bestFit="1" customWidth="1"/>
    <col min="51" max="16384" width="9.140625" style="74" customWidth="1"/>
  </cols>
  <sheetData>
    <row r="1" spans="1:50" ht="18.75" thickBot="1">
      <c r="A1" s="945" t="s">
        <v>205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5"/>
      <c r="X1" s="945"/>
      <c r="Y1" s="945"/>
      <c r="Z1" s="945"/>
      <c r="AA1" s="945"/>
      <c r="AB1" s="945"/>
      <c r="AC1" s="945"/>
      <c r="AD1" s="945"/>
      <c r="AE1" s="945"/>
      <c r="AF1" s="945"/>
      <c r="AG1" s="945"/>
      <c r="AH1" s="945"/>
      <c r="AI1" s="945"/>
      <c r="AJ1" s="945"/>
      <c r="AK1" s="945"/>
      <c r="AL1" s="945"/>
      <c r="AM1" s="945"/>
      <c r="AN1" s="945"/>
      <c r="AO1" s="945"/>
      <c r="AP1" s="945"/>
      <c r="AQ1" s="945"/>
      <c r="AR1" s="945"/>
      <c r="AS1" s="945"/>
      <c r="AT1" s="945"/>
      <c r="AU1" s="945"/>
      <c r="AV1" s="945"/>
      <c r="AW1" s="945"/>
      <c r="AX1" s="945"/>
    </row>
    <row r="2" spans="1:50" ht="45" customHeight="1" thickBot="1">
      <c r="A2" s="946" t="s">
        <v>0</v>
      </c>
      <c r="B2" s="486"/>
      <c r="C2" s="948" t="s">
        <v>116</v>
      </c>
      <c r="D2" s="949"/>
      <c r="E2" s="950" t="s">
        <v>117</v>
      </c>
      <c r="F2" s="951"/>
      <c r="G2" s="950" t="s">
        <v>118</v>
      </c>
      <c r="H2" s="951"/>
      <c r="I2" s="950" t="s">
        <v>119</v>
      </c>
      <c r="J2" s="951"/>
      <c r="K2" s="950" t="s">
        <v>120</v>
      </c>
      <c r="L2" s="951"/>
      <c r="M2" s="950" t="s">
        <v>121</v>
      </c>
      <c r="N2" s="951"/>
      <c r="O2" s="950" t="s">
        <v>226</v>
      </c>
      <c r="P2" s="951"/>
      <c r="Q2" s="950" t="s">
        <v>122</v>
      </c>
      <c r="R2" s="951"/>
      <c r="S2" s="950" t="s">
        <v>123</v>
      </c>
      <c r="T2" s="951"/>
      <c r="U2" s="950" t="s">
        <v>124</v>
      </c>
      <c r="V2" s="951"/>
      <c r="W2" s="950" t="s">
        <v>125</v>
      </c>
      <c r="X2" s="951"/>
      <c r="Y2" s="950" t="s">
        <v>126</v>
      </c>
      <c r="Z2" s="951"/>
      <c r="AA2" s="952" t="s">
        <v>234</v>
      </c>
      <c r="AB2" s="953"/>
      <c r="AC2" s="950" t="s">
        <v>127</v>
      </c>
      <c r="AD2" s="951"/>
      <c r="AE2" s="950" t="s">
        <v>128</v>
      </c>
      <c r="AF2" s="951"/>
      <c r="AG2" s="950" t="s">
        <v>129</v>
      </c>
      <c r="AH2" s="951"/>
      <c r="AI2" s="950" t="s">
        <v>130</v>
      </c>
      <c r="AJ2" s="951"/>
      <c r="AK2" s="950" t="s">
        <v>131</v>
      </c>
      <c r="AL2" s="951"/>
      <c r="AM2" s="950" t="s">
        <v>132</v>
      </c>
      <c r="AN2" s="951"/>
      <c r="AO2" s="950" t="s">
        <v>133</v>
      </c>
      <c r="AP2" s="951"/>
      <c r="AQ2" s="950" t="s">
        <v>134</v>
      </c>
      <c r="AR2" s="951"/>
      <c r="AS2" s="950" t="s">
        <v>135</v>
      </c>
      <c r="AT2" s="951"/>
      <c r="AU2" s="950" t="s">
        <v>136</v>
      </c>
      <c r="AV2" s="951"/>
      <c r="AW2" s="950" t="s">
        <v>137</v>
      </c>
      <c r="AX2" s="951"/>
    </row>
    <row r="3" spans="1:50" s="365" customFormat="1" ht="15" customHeight="1" thickBot="1">
      <c r="A3" s="947"/>
      <c r="B3" s="495"/>
      <c r="C3" s="411" t="s">
        <v>231</v>
      </c>
      <c r="D3" s="411" t="s">
        <v>339</v>
      </c>
      <c r="E3" s="411" t="s">
        <v>231</v>
      </c>
      <c r="F3" s="411" t="s">
        <v>339</v>
      </c>
      <c r="G3" s="411" t="s">
        <v>231</v>
      </c>
      <c r="H3" s="411" t="s">
        <v>339</v>
      </c>
      <c r="I3" s="411" t="s">
        <v>231</v>
      </c>
      <c r="J3" s="411" t="s">
        <v>339</v>
      </c>
      <c r="K3" s="411" t="s">
        <v>231</v>
      </c>
      <c r="L3" s="411" t="s">
        <v>339</v>
      </c>
      <c r="M3" s="411" t="s">
        <v>231</v>
      </c>
      <c r="N3" s="411" t="s">
        <v>339</v>
      </c>
      <c r="O3" s="411" t="s">
        <v>231</v>
      </c>
      <c r="P3" s="411" t="s">
        <v>339</v>
      </c>
      <c r="Q3" s="411" t="s">
        <v>231</v>
      </c>
      <c r="R3" s="411" t="s">
        <v>339</v>
      </c>
      <c r="S3" s="411" t="s">
        <v>231</v>
      </c>
      <c r="T3" s="411" t="s">
        <v>339</v>
      </c>
      <c r="U3" s="411" t="s">
        <v>231</v>
      </c>
      <c r="V3" s="411" t="s">
        <v>339</v>
      </c>
      <c r="W3" s="411" t="s">
        <v>231</v>
      </c>
      <c r="X3" s="411" t="s">
        <v>339</v>
      </c>
      <c r="Y3" s="411" t="s">
        <v>231</v>
      </c>
      <c r="Z3" s="411" t="s">
        <v>339</v>
      </c>
      <c r="AA3" s="411" t="s">
        <v>231</v>
      </c>
      <c r="AB3" s="411" t="s">
        <v>339</v>
      </c>
      <c r="AC3" s="411" t="s">
        <v>231</v>
      </c>
      <c r="AD3" s="411" t="s">
        <v>339</v>
      </c>
      <c r="AE3" s="411" t="s">
        <v>231</v>
      </c>
      <c r="AF3" s="411" t="s">
        <v>339</v>
      </c>
      <c r="AG3" s="411" t="s">
        <v>231</v>
      </c>
      <c r="AH3" s="411" t="s">
        <v>339</v>
      </c>
      <c r="AI3" s="411" t="s">
        <v>231</v>
      </c>
      <c r="AJ3" s="411" t="s">
        <v>339</v>
      </c>
      <c r="AK3" s="411" t="s">
        <v>231</v>
      </c>
      <c r="AL3" s="411" t="s">
        <v>339</v>
      </c>
      <c r="AM3" s="411" t="s">
        <v>231</v>
      </c>
      <c r="AN3" s="411" t="s">
        <v>339</v>
      </c>
      <c r="AO3" s="411" t="s">
        <v>231</v>
      </c>
      <c r="AP3" s="411" t="s">
        <v>339</v>
      </c>
      <c r="AQ3" s="411" t="s">
        <v>231</v>
      </c>
      <c r="AR3" s="411" t="s">
        <v>339</v>
      </c>
      <c r="AS3" s="411" t="s">
        <v>231</v>
      </c>
      <c r="AT3" s="411" t="s">
        <v>339</v>
      </c>
      <c r="AU3" s="411" t="s">
        <v>231</v>
      </c>
      <c r="AV3" s="411" t="s">
        <v>339</v>
      </c>
      <c r="AW3" s="411" t="s">
        <v>231</v>
      </c>
      <c r="AX3" s="411" t="s">
        <v>339</v>
      </c>
    </row>
    <row r="4" spans="1:50" ht="15" customHeight="1">
      <c r="A4" s="336" t="s">
        <v>21</v>
      </c>
      <c r="B4" s="338"/>
      <c r="C4" s="829"/>
      <c r="D4" s="797"/>
      <c r="E4" s="340"/>
      <c r="F4" s="337"/>
      <c r="G4" s="340"/>
      <c r="H4" s="337"/>
      <c r="I4" s="337"/>
      <c r="J4" s="337"/>
      <c r="K4" s="337"/>
      <c r="L4" s="337"/>
      <c r="M4" s="343"/>
      <c r="N4" s="343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40"/>
      <c r="AX4" s="337"/>
    </row>
    <row r="5" spans="1:50" ht="25.5" customHeight="1">
      <c r="A5" s="275" t="s">
        <v>22</v>
      </c>
      <c r="B5" s="335" t="s">
        <v>141</v>
      </c>
      <c r="C5" s="326">
        <v>65821275</v>
      </c>
      <c r="D5" s="798">
        <v>53131380</v>
      </c>
      <c r="E5" s="326">
        <v>2539657</v>
      </c>
      <c r="F5" s="560">
        <v>3715400</v>
      </c>
      <c r="G5" s="341"/>
      <c r="H5" s="333">
        <v>7716433</v>
      </c>
      <c r="I5" s="331">
        <v>75235234</v>
      </c>
      <c r="J5" s="333">
        <v>66242229</v>
      </c>
      <c r="K5" s="333">
        <v>14891616</v>
      </c>
      <c r="L5" s="333">
        <v>14998988</v>
      </c>
      <c r="M5" s="344">
        <v>34348380</v>
      </c>
      <c r="N5" s="344">
        <v>27121103</v>
      </c>
      <c r="O5" s="333">
        <v>7012576</v>
      </c>
      <c r="P5" s="563">
        <v>9349867</v>
      </c>
      <c r="Q5" s="346">
        <v>7450133</v>
      </c>
      <c r="R5" s="346">
        <v>6373435</v>
      </c>
      <c r="S5" s="333">
        <v>20800799</v>
      </c>
      <c r="T5" s="333">
        <v>21116524</v>
      </c>
      <c r="U5" s="333">
        <v>7375335</v>
      </c>
      <c r="V5" s="333">
        <v>9344256</v>
      </c>
      <c r="W5" s="333">
        <v>256733056</v>
      </c>
      <c r="X5" s="333">
        <v>220920719</v>
      </c>
      <c r="Y5" s="333">
        <v>236322178</v>
      </c>
      <c r="Z5" s="333">
        <v>227837003</v>
      </c>
      <c r="AA5" s="350">
        <v>12414122</v>
      </c>
      <c r="AB5" s="350">
        <v>12225708</v>
      </c>
      <c r="AC5" s="333">
        <v>26985774</v>
      </c>
      <c r="AD5" s="333">
        <v>22299828</v>
      </c>
      <c r="AE5" s="333">
        <v>62298457</v>
      </c>
      <c r="AF5" s="333">
        <v>64753896</v>
      </c>
      <c r="AG5" s="333">
        <v>119119791</v>
      </c>
      <c r="AH5" s="333">
        <v>103110452</v>
      </c>
      <c r="AI5" s="333">
        <v>37715026</v>
      </c>
      <c r="AJ5" s="333">
        <v>35764712</v>
      </c>
      <c r="AK5" s="333">
        <v>30867190</v>
      </c>
      <c r="AL5" s="333">
        <v>30084652</v>
      </c>
      <c r="AM5" s="353"/>
      <c r="AN5" s="353"/>
      <c r="AO5" s="803">
        <v>346074479</v>
      </c>
      <c r="AP5" s="802">
        <v>286975141</v>
      </c>
      <c r="AQ5" s="333">
        <v>12561011</v>
      </c>
      <c r="AR5" s="333">
        <v>11472772</v>
      </c>
      <c r="AS5" s="351">
        <v>19216802</v>
      </c>
      <c r="AT5" s="351">
        <v>15239000</v>
      </c>
      <c r="AU5" s="333">
        <v>70353860</v>
      </c>
      <c r="AV5" s="333">
        <v>52468381</v>
      </c>
      <c r="AW5" s="568">
        <v>2815072931</v>
      </c>
      <c r="AX5" s="351">
        <v>2776281659</v>
      </c>
    </row>
    <row r="6" spans="1:50" ht="16.5">
      <c r="A6" s="275" t="s">
        <v>142</v>
      </c>
      <c r="B6" s="339"/>
      <c r="C6" s="326">
        <v>-2146626</v>
      </c>
      <c r="D6" s="798">
        <v>-1878560</v>
      </c>
      <c r="E6" s="326">
        <v>-523404</v>
      </c>
      <c r="F6" s="560">
        <v>-454060</v>
      </c>
      <c r="G6" s="341"/>
      <c r="H6" s="333">
        <v>-433661</v>
      </c>
      <c r="I6" s="331">
        <v>-708004</v>
      </c>
      <c r="J6" s="333">
        <v>-561680</v>
      </c>
      <c r="K6" s="333">
        <v>-233555</v>
      </c>
      <c r="L6" s="333">
        <v>-219795</v>
      </c>
      <c r="M6" s="344">
        <v>-781052</v>
      </c>
      <c r="N6" s="344">
        <v>-465339</v>
      </c>
      <c r="O6" s="333">
        <v>-483817</v>
      </c>
      <c r="P6" s="333">
        <v>-825634</v>
      </c>
      <c r="Q6" s="347">
        <v>-270822</v>
      </c>
      <c r="R6" s="347">
        <v>-331007</v>
      </c>
      <c r="S6" s="333">
        <v>-579304</v>
      </c>
      <c r="T6" s="333">
        <v>-601868</v>
      </c>
      <c r="U6" s="333">
        <v>-323701</v>
      </c>
      <c r="V6" s="333">
        <v>-308771</v>
      </c>
      <c r="W6" s="333">
        <v>-4190143</v>
      </c>
      <c r="X6" s="333">
        <v>-3329301</v>
      </c>
      <c r="Y6" s="333">
        <v>-5381254</v>
      </c>
      <c r="Z6" s="333">
        <v>-3789659</v>
      </c>
      <c r="AA6" s="350">
        <v>-112792</v>
      </c>
      <c r="AB6" s="350">
        <v>-109286</v>
      </c>
      <c r="AC6" s="333">
        <v>-1123737</v>
      </c>
      <c r="AD6" s="333">
        <v>-796697</v>
      </c>
      <c r="AE6" s="333">
        <v>-1319799</v>
      </c>
      <c r="AF6" s="333">
        <v>-955546</v>
      </c>
      <c r="AG6" s="333">
        <v>-2101363</v>
      </c>
      <c r="AH6" s="333">
        <v>-1487531</v>
      </c>
      <c r="AI6" s="333">
        <v>-1385608</v>
      </c>
      <c r="AJ6" s="333">
        <v>-1035968</v>
      </c>
      <c r="AK6" s="333">
        <v>-174137</v>
      </c>
      <c r="AL6" s="333">
        <v>-165942</v>
      </c>
      <c r="AM6" s="353"/>
      <c r="AN6" s="353"/>
      <c r="AO6" s="803">
        <v>-3949098</v>
      </c>
      <c r="AP6" s="803">
        <v>-2364796</v>
      </c>
      <c r="AQ6" s="333">
        <v>-40542</v>
      </c>
      <c r="AR6" s="333">
        <v>-38827</v>
      </c>
      <c r="AS6" s="351">
        <v>-1012967</v>
      </c>
      <c r="AT6" s="351">
        <v>-524492</v>
      </c>
      <c r="AU6" s="333">
        <v>-2289326</v>
      </c>
      <c r="AV6" s="333">
        <v>-1412295</v>
      </c>
      <c r="AW6" s="568">
        <v>-2890079</v>
      </c>
      <c r="AX6" s="351">
        <v>-2155730</v>
      </c>
    </row>
    <row r="7" spans="1:50" ht="16.5">
      <c r="A7" s="275" t="s">
        <v>143</v>
      </c>
      <c r="B7" s="339"/>
      <c r="C7" s="331"/>
      <c r="D7" s="798"/>
      <c r="E7" s="331"/>
      <c r="F7" s="560"/>
      <c r="G7" s="341"/>
      <c r="H7" s="333"/>
      <c r="I7" s="333"/>
      <c r="J7" s="333"/>
      <c r="K7" s="333"/>
      <c r="L7" s="333"/>
      <c r="M7" s="344"/>
      <c r="N7" s="344"/>
      <c r="O7" s="333"/>
      <c r="P7" s="333"/>
      <c r="Q7" s="347"/>
      <c r="R7" s="347"/>
      <c r="S7" s="333"/>
      <c r="T7" s="333"/>
      <c r="U7" s="333"/>
      <c r="V7" s="333"/>
      <c r="W7" s="333"/>
      <c r="X7" s="333"/>
      <c r="Y7" s="333"/>
      <c r="Z7" s="333"/>
      <c r="AA7" s="350"/>
      <c r="AB7" s="350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53"/>
      <c r="AN7" s="353"/>
      <c r="AO7" s="804"/>
      <c r="AP7" s="804"/>
      <c r="AQ7" s="333"/>
      <c r="AR7" s="333"/>
      <c r="AS7" s="351"/>
      <c r="AT7" s="351"/>
      <c r="AU7" s="333"/>
      <c r="AV7" s="333"/>
      <c r="AW7" s="568"/>
      <c r="AX7" s="351"/>
    </row>
    <row r="8" spans="1:50" ht="16.5">
      <c r="A8" s="335" t="s">
        <v>144</v>
      </c>
      <c r="B8" s="339"/>
      <c r="C8" s="331">
        <v>63674649</v>
      </c>
      <c r="D8" s="798">
        <v>51252820</v>
      </c>
      <c r="E8" s="331">
        <v>3006253</v>
      </c>
      <c r="F8" s="560">
        <f>SUM(F5:F7)</f>
        <v>3261340</v>
      </c>
      <c r="G8" s="341"/>
      <c r="H8" s="341">
        <f>SUM(H5:H7)</f>
        <v>7282772</v>
      </c>
      <c r="I8" s="333">
        <v>74527230</v>
      </c>
      <c r="J8" s="333">
        <f>SUM(J5:J7)</f>
        <v>65680549</v>
      </c>
      <c r="K8" s="333">
        <v>14658061</v>
      </c>
      <c r="L8" s="333">
        <f>SUM(L5:L7)</f>
        <v>14779193</v>
      </c>
      <c r="M8" s="333">
        <v>33567328</v>
      </c>
      <c r="N8" s="333">
        <f aca="true" t="shared" si="0" ref="N8:AV8">SUM(N5:N7)</f>
        <v>26655764</v>
      </c>
      <c r="O8" s="333">
        <f>O5+O6</f>
        <v>6528759</v>
      </c>
      <c r="P8" s="333">
        <f t="shared" si="0"/>
        <v>8524233</v>
      </c>
      <c r="Q8" s="333">
        <v>7079311</v>
      </c>
      <c r="R8" s="333">
        <f t="shared" si="0"/>
        <v>6042428</v>
      </c>
      <c r="S8" s="333">
        <f>S5+S6</f>
        <v>20221495</v>
      </c>
      <c r="T8" s="333">
        <f t="shared" si="0"/>
        <v>20514656</v>
      </c>
      <c r="U8" s="333">
        <f>U5+U6</f>
        <v>7051634</v>
      </c>
      <c r="V8" s="333">
        <f t="shared" si="0"/>
        <v>9035485</v>
      </c>
      <c r="W8" s="333">
        <f>W5+W6</f>
        <v>252542913</v>
      </c>
      <c r="X8" s="333">
        <f t="shared" si="0"/>
        <v>217591418</v>
      </c>
      <c r="Y8" s="333">
        <f>Y5+Y6</f>
        <v>230940924</v>
      </c>
      <c r="Z8" s="333">
        <f t="shared" si="0"/>
        <v>224047344</v>
      </c>
      <c r="AA8" s="333">
        <f>AA5+AA6</f>
        <v>12301330</v>
      </c>
      <c r="AB8" s="333">
        <f t="shared" si="0"/>
        <v>12116422</v>
      </c>
      <c r="AC8" s="333">
        <v>25862036</v>
      </c>
      <c r="AD8" s="333">
        <f t="shared" si="0"/>
        <v>21503131</v>
      </c>
      <c r="AE8" s="333">
        <f>AE5+AE6</f>
        <v>60978658</v>
      </c>
      <c r="AF8" s="333">
        <f t="shared" si="0"/>
        <v>63798350</v>
      </c>
      <c r="AG8" s="333">
        <f>AG5+AG6</f>
        <v>117018428</v>
      </c>
      <c r="AH8" s="333">
        <f t="shared" si="0"/>
        <v>101622921</v>
      </c>
      <c r="AI8" s="333">
        <f>AI5+AI6</f>
        <v>36329418</v>
      </c>
      <c r="AJ8" s="333">
        <f t="shared" si="0"/>
        <v>34728744</v>
      </c>
      <c r="AK8" s="333">
        <f>AK5+AK6</f>
        <v>30693053</v>
      </c>
      <c r="AL8" s="333">
        <f t="shared" si="0"/>
        <v>29918710</v>
      </c>
      <c r="AM8" s="333">
        <f t="shared" si="0"/>
        <v>0</v>
      </c>
      <c r="AN8" s="333">
        <f t="shared" si="0"/>
        <v>0</v>
      </c>
      <c r="AO8" s="333">
        <f>AO5+AO6</f>
        <v>342125381</v>
      </c>
      <c r="AP8" s="333">
        <f t="shared" si="0"/>
        <v>284610345</v>
      </c>
      <c r="AQ8" s="333">
        <f>AQ5+AQ6</f>
        <v>12520469</v>
      </c>
      <c r="AR8" s="333">
        <f t="shared" si="0"/>
        <v>11433945</v>
      </c>
      <c r="AS8" s="333">
        <f>AS5+AS6</f>
        <v>18203835</v>
      </c>
      <c r="AT8" s="333">
        <f t="shared" si="0"/>
        <v>14714508</v>
      </c>
      <c r="AU8" s="333">
        <f>AU5+AU6</f>
        <v>68064534</v>
      </c>
      <c r="AV8" s="333">
        <f t="shared" si="0"/>
        <v>51056086</v>
      </c>
      <c r="AW8" s="568">
        <f>AW5+AW6</f>
        <v>2812182852</v>
      </c>
      <c r="AX8" s="351">
        <f>SUM(AX5:AX7)</f>
        <v>2774125929</v>
      </c>
    </row>
    <row r="9" spans="1:50" ht="17.25">
      <c r="A9" s="335" t="s">
        <v>145</v>
      </c>
      <c r="B9" s="339"/>
      <c r="C9" s="332"/>
      <c r="D9" s="799"/>
      <c r="E9" s="332"/>
      <c r="F9" s="561"/>
      <c r="G9" s="342"/>
      <c r="H9" s="334"/>
      <c r="I9" s="334"/>
      <c r="J9" s="334"/>
      <c r="K9" s="334"/>
      <c r="L9" s="334"/>
      <c r="M9" s="345"/>
      <c r="N9" s="345"/>
      <c r="O9" s="334"/>
      <c r="P9" s="334"/>
      <c r="Q9" s="348"/>
      <c r="R9" s="348"/>
      <c r="S9" s="334"/>
      <c r="T9" s="334"/>
      <c r="U9" s="334"/>
      <c r="V9" s="334"/>
      <c r="W9" s="334"/>
      <c r="X9" s="334"/>
      <c r="Y9" s="334"/>
      <c r="Z9" s="334"/>
      <c r="AA9" s="350"/>
      <c r="AB9" s="350"/>
      <c r="AC9" s="334"/>
      <c r="AD9" s="334"/>
      <c r="AE9" s="352"/>
      <c r="AF9" s="352"/>
      <c r="AG9" s="334"/>
      <c r="AH9" s="334"/>
      <c r="AI9" s="334"/>
      <c r="AJ9" s="334"/>
      <c r="AK9" s="334"/>
      <c r="AL9" s="334"/>
      <c r="AM9" s="353"/>
      <c r="AN9" s="353"/>
      <c r="AO9" s="804"/>
      <c r="AP9" s="804"/>
      <c r="AQ9" s="333"/>
      <c r="AR9" s="333"/>
      <c r="AS9" s="351"/>
      <c r="AT9" s="351"/>
      <c r="AU9" s="334"/>
      <c r="AV9" s="334"/>
      <c r="AW9" s="342"/>
      <c r="AX9" s="334"/>
    </row>
    <row r="10" spans="1:50" ht="17.25">
      <c r="A10" s="275" t="s">
        <v>146</v>
      </c>
      <c r="B10" s="339"/>
      <c r="C10" s="331">
        <v>19072478</v>
      </c>
      <c r="D10" s="798">
        <v>17502824</v>
      </c>
      <c r="E10" s="331">
        <v>1069984</v>
      </c>
      <c r="F10" s="560">
        <v>1018762</v>
      </c>
      <c r="G10" s="341"/>
      <c r="H10" s="333">
        <v>4225960</v>
      </c>
      <c r="I10" s="333">
        <v>19569427</v>
      </c>
      <c r="J10" s="333">
        <v>17819445</v>
      </c>
      <c r="K10" s="333">
        <v>3755497</v>
      </c>
      <c r="L10" s="333">
        <v>3030862</v>
      </c>
      <c r="M10" s="344">
        <v>6283932</v>
      </c>
      <c r="N10" s="344">
        <v>5442163</v>
      </c>
      <c r="O10" s="333">
        <v>2326797</v>
      </c>
      <c r="P10" s="333">
        <v>2073335</v>
      </c>
      <c r="Q10" s="347">
        <v>1642335</v>
      </c>
      <c r="R10" s="347">
        <v>1117231</v>
      </c>
      <c r="S10" s="333">
        <v>7927591</v>
      </c>
      <c r="T10" s="333">
        <v>6989931</v>
      </c>
      <c r="U10" s="333">
        <v>2214833</v>
      </c>
      <c r="V10" s="333">
        <v>1999676</v>
      </c>
      <c r="W10" s="333">
        <v>57864580</v>
      </c>
      <c r="X10" s="333">
        <v>50073949</v>
      </c>
      <c r="Y10" s="333">
        <v>49979415</v>
      </c>
      <c r="Z10" s="333">
        <v>45480441</v>
      </c>
      <c r="AA10" s="333">
        <v>4679791</v>
      </c>
      <c r="AB10" s="333">
        <v>4164492</v>
      </c>
      <c r="AC10" s="333">
        <v>6468035</v>
      </c>
      <c r="AD10" s="333">
        <v>6100954</v>
      </c>
      <c r="AE10" s="333">
        <v>15230518</v>
      </c>
      <c r="AF10" s="333">
        <v>12904221</v>
      </c>
      <c r="AG10" s="333">
        <v>32790252</v>
      </c>
      <c r="AH10" s="333">
        <v>28382130</v>
      </c>
      <c r="AI10" s="333">
        <v>11066537</v>
      </c>
      <c r="AJ10" s="333">
        <v>9401121</v>
      </c>
      <c r="AK10" s="333">
        <v>9397645</v>
      </c>
      <c r="AL10" s="333">
        <v>8678628</v>
      </c>
      <c r="AM10" s="353"/>
      <c r="AN10" s="353"/>
      <c r="AO10" s="803">
        <v>72146373</v>
      </c>
      <c r="AP10" s="803">
        <v>62289991</v>
      </c>
      <c r="AQ10" s="333">
        <v>2423136</v>
      </c>
      <c r="AR10" s="333">
        <v>2017379</v>
      </c>
      <c r="AS10" s="351">
        <v>4469363</v>
      </c>
      <c r="AT10" s="351">
        <v>4031728</v>
      </c>
      <c r="AU10" s="334">
        <v>11599503</v>
      </c>
      <c r="AV10" s="334">
        <v>10672757</v>
      </c>
      <c r="AW10" s="568">
        <v>1712752585</v>
      </c>
      <c r="AX10" s="351">
        <v>1588241626</v>
      </c>
    </row>
    <row r="11" spans="1:50" ht="16.5">
      <c r="A11" s="275" t="s">
        <v>147</v>
      </c>
      <c r="B11" s="339"/>
      <c r="C11" s="331">
        <v>13613185</v>
      </c>
      <c r="D11" s="798">
        <v>9007065</v>
      </c>
      <c r="E11" s="331">
        <v>1053773</v>
      </c>
      <c r="F11" s="560">
        <v>687922</v>
      </c>
      <c r="G11" s="341"/>
      <c r="H11" s="333">
        <v>2560491</v>
      </c>
      <c r="I11" s="333">
        <v>22030426</v>
      </c>
      <c r="J11" s="333">
        <v>16454342</v>
      </c>
      <c r="K11" s="333">
        <v>1903851</v>
      </c>
      <c r="L11" s="333">
        <v>1511361</v>
      </c>
      <c r="M11" s="344">
        <v>7333133</v>
      </c>
      <c r="N11" s="344">
        <v>5663105</v>
      </c>
      <c r="O11" s="333">
        <v>806277</v>
      </c>
      <c r="P11" s="333">
        <v>793807</v>
      </c>
      <c r="Q11" s="347">
        <v>1498993</v>
      </c>
      <c r="R11" s="347">
        <v>906780</v>
      </c>
      <c r="S11" s="333">
        <v>1091635</v>
      </c>
      <c r="T11" s="333">
        <v>2173393</v>
      </c>
      <c r="U11" s="333">
        <v>1140527</v>
      </c>
      <c r="V11" s="333">
        <v>353749</v>
      </c>
      <c r="W11" s="333">
        <v>44358396</v>
      </c>
      <c r="X11" s="333">
        <v>35111973</v>
      </c>
      <c r="Y11" s="333">
        <v>88199217</v>
      </c>
      <c r="Z11" s="333">
        <v>61633771</v>
      </c>
      <c r="AA11" s="333">
        <v>1174459</v>
      </c>
      <c r="AB11" s="333">
        <v>1538500</v>
      </c>
      <c r="AC11" s="333">
        <v>4590410</v>
      </c>
      <c r="AD11" s="333">
        <v>2405384</v>
      </c>
      <c r="AE11" s="333">
        <v>9509436</v>
      </c>
      <c r="AF11" s="333">
        <v>8938151</v>
      </c>
      <c r="AG11" s="333">
        <v>32864019</v>
      </c>
      <c r="AH11" s="333">
        <v>16354357</v>
      </c>
      <c r="AI11" s="333">
        <v>4727304</v>
      </c>
      <c r="AJ11" s="333">
        <v>4355723</v>
      </c>
      <c r="AK11" s="333">
        <v>4040142</v>
      </c>
      <c r="AL11" s="333">
        <v>5712203</v>
      </c>
      <c r="AM11" s="353"/>
      <c r="AN11" s="353"/>
      <c r="AO11" s="803">
        <v>57286527</v>
      </c>
      <c r="AP11" s="803">
        <v>34066555</v>
      </c>
      <c r="AQ11" s="333">
        <v>766305</v>
      </c>
      <c r="AR11" s="333">
        <v>659774</v>
      </c>
      <c r="AS11" s="351">
        <v>3503857</v>
      </c>
      <c r="AT11" s="351">
        <v>3316645</v>
      </c>
      <c r="AU11" s="333">
        <v>12530396</v>
      </c>
      <c r="AV11" s="333">
        <v>9051159</v>
      </c>
      <c r="AW11" s="568">
        <v>366697924</v>
      </c>
      <c r="AX11" s="351">
        <v>227019928</v>
      </c>
    </row>
    <row r="12" spans="1:50" ht="16.5">
      <c r="A12" s="275" t="s">
        <v>148</v>
      </c>
      <c r="B12" s="339"/>
      <c r="C12" s="331">
        <v>-6297149</v>
      </c>
      <c r="D12" s="798">
        <v>-3347109</v>
      </c>
      <c r="E12" s="331">
        <v>-416526</v>
      </c>
      <c r="F12" s="560">
        <v>-373157</v>
      </c>
      <c r="G12" s="341"/>
      <c r="H12" s="333">
        <v>-1221700</v>
      </c>
      <c r="I12" s="333">
        <v>-10616789</v>
      </c>
      <c r="J12" s="333">
        <v>-7238004</v>
      </c>
      <c r="K12" s="333">
        <v>-570803</v>
      </c>
      <c r="L12" s="333">
        <v>-298313</v>
      </c>
      <c r="M12" s="344">
        <v>-5338648</v>
      </c>
      <c r="N12" s="344">
        <v>-3568574</v>
      </c>
      <c r="O12" s="333">
        <v>-90382</v>
      </c>
      <c r="P12" s="333">
        <v>-44949</v>
      </c>
      <c r="Q12" s="347">
        <v>-771716</v>
      </c>
      <c r="R12" s="347">
        <v>-470647</v>
      </c>
      <c r="S12" s="333">
        <v>-340951</v>
      </c>
      <c r="T12" s="333">
        <v>-692468</v>
      </c>
      <c r="U12" s="333">
        <v>-279125</v>
      </c>
      <c r="V12" s="333">
        <v>-122404</v>
      </c>
      <c r="W12" s="333">
        <v>-16577016</v>
      </c>
      <c r="X12" s="333">
        <v>-8599549</v>
      </c>
      <c r="Y12" s="333">
        <v>-50642236</v>
      </c>
      <c r="Z12" s="333">
        <v>-29410215</v>
      </c>
      <c r="AA12" s="333">
        <v>-1830400</v>
      </c>
      <c r="AB12" s="333">
        <v>-1360245</v>
      </c>
      <c r="AC12" s="333">
        <v>-2111875</v>
      </c>
      <c r="AD12" s="333">
        <v>-939559</v>
      </c>
      <c r="AE12" s="333">
        <v>-3768402</v>
      </c>
      <c r="AF12" s="333">
        <v>-2706131</v>
      </c>
      <c r="AG12" s="333">
        <v>-10813352</v>
      </c>
      <c r="AH12" s="333">
        <v>-5627935</v>
      </c>
      <c r="AI12" s="333">
        <v>-1603420</v>
      </c>
      <c r="AJ12" s="333">
        <v>-1191056</v>
      </c>
      <c r="AK12" s="333">
        <v>-1837461</v>
      </c>
      <c r="AL12" s="333">
        <v>-2173311</v>
      </c>
      <c r="AM12" s="353"/>
      <c r="AN12" s="353"/>
      <c r="AO12" s="803">
        <v>-17619050</v>
      </c>
      <c r="AP12" s="803">
        <v>-11329647</v>
      </c>
      <c r="AQ12" s="333">
        <v>-338884</v>
      </c>
      <c r="AR12" s="333">
        <v>-597941</v>
      </c>
      <c r="AS12" s="351">
        <v>-1355179</v>
      </c>
      <c r="AT12" s="351">
        <v>-607966</v>
      </c>
      <c r="AU12" s="333">
        <v>-2732862</v>
      </c>
      <c r="AV12" s="333">
        <v>-3466192</v>
      </c>
      <c r="AW12" s="568">
        <v>-29803357</v>
      </c>
      <c r="AX12" s="351">
        <v>-108836499</v>
      </c>
    </row>
    <row r="13" spans="1:50" ht="16.5">
      <c r="A13" s="275" t="s">
        <v>149</v>
      </c>
      <c r="B13" s="339"/>
      <c r="C13" s="331">
        <v>40585775</v>
      </c>
      <c r="D13" s="798">
        <v>426980</v>
      </c>
      <c r="E13" s="331">
        <v>2064549</v>
      </c>
      <c r="F13" s="560">
        <v>-54439</v>
      </c>
      <c r="G13" s="341"/>
      <c r="H13" s="333">
        <v>-1404392</v>
      </c>
      <c r="I13" s="333">
        <v>63037025</v>
      </c>
      <c r="J13" s="333">
        <v>-5239314</v>
      </c>
      <c r="K13" s="333">
        <v>3159297</v>
      </c>
      <c r="L13" s="333">
        <v>-182617</v>
      </c>
      <c r="M13" s="344">
        <v>27175999</v>
      </c>
      <c r="N13" s="344">
        <v>1257349</v>
      </c>
      <c r="O13" s="333">
        <v>847767</v>
      </c>
      <c r="P13" s="333">
        <v>17595</v>
      </c>
      <c r="Q13" s="347">
        <v>2720487</v>
      </c>
      <c r="R13" s="347">
        <v>89694</v>
      </c>
      <c r="S13" s="333">
        <v>4434679</v>
      </c>
      <c r="T13" s="333">
        <v>42467</v>
      </c>
      <c r="U13" s="333">
        <v>876595</v>
      </c>
      <c r="V13" s="333">
        <v>-45302</v>
      </c>
      <c r="W13" s="333">
        <v>180975508</v>
      </c>
      <c r="X13" s="333">
        <v>-7354431</v>
      </c>
      <c r="Y13" s="333">
        <v>311287022</v>
      </c>
      <c r="Z13" s="333">
        <v>-19368316</v>
      </c>
      <c r="AA13" s="333">
        <v>7839619</v>
      </c>
      <c r="AB13" s="333">
        <v>85849</v>
      </c>
      <c r="AC13" s="333">
        <v>11048928</v>
      </c>
      <c r="AD13" s="333">
        <v>143361</v>
      </c>
      <c r="AE13" s="333">
        <v>32883643</v>
      </c>
      <c r="AF13" s="333">
        <v>2285539</v>
      </c>
      <c r="AG13" s="333">
        <v>40645417</v>
      </c>
      <c r="AH13" s="333">
        <v>-3121830</v>
      </c>
      <c r="AI13" s="333">
        <v>14958722</v>
      </c>
      <c r="AJ13" s="333">
        <v>-1705506</v>
      </c>
      <c r="AK13" s="333">
        <v>13797097</v>
      </c>
      <c r="AL13" s="333">
        <v>-2510525</v>
      </c>
      <c r="AM13" s="353"/>
      <c r="AN13" s="353"/>
      <c r="AO13" s="803">
        <v>157686897</v>
      </c>
      <c r="AP13" s="803">
        <v>7891491</v>
      </c>
      <c r="AQ13" s="333"/>
      <c r="AR13" s="333"/>
      <c r="AS13" s="351"/>
      <c r="AT13" s="351"/>
      <c r="AU13" s="333">
        <v>46594245</v>
      </c>
      <c r="AV13" s="333">
        <v>383703</v>
      </c>
      <c r="AW13" s="568">
        <v>63611367</v>
      </c>
      <c r="AX13" s="351">
        <v>58101922</v>
      </c>
    </row>
    <row r="14" spans="1:50" ht="17.25">
      <c r="A14" s="275" t="s">
        <v>150</v>
      </c>
      <c r="B14" s="339"/>
      <c r="C14" s="332"/>
      <c r="D14" s="799"/>
      <c r="E14" s="332">
        <v>147731</v>
      </c>
      <c r="F14" s="561">
        <v>102979</v>
      </c>
      <c r="G14" s="342"/>
      <c r="H14" s="334"/>
      <c r="I14" s="334">
        <v>757674</v>
      </c>
      <c r="J14" s="334">
        <v>2240982</v>
      </c>
      <c r="K14" s="334"/>
      <c r="L14" s="334"/>
      <c r="M14" s="345"/>
      <c r="N14" s="345"/>
      <c r="O14" s="334">
        <v>-71610</v>
      </c>
      <c r="P14" s="334">
        <v>-45740</v>
      </c>
      <c r="Q14" s="348"/>
      <c r="R14" s="348"/>
      <c r="S14" s="334"/>
      <c r="T14" s="334"/>
      <c r="U14" s="334"/>
      <c r="V14" s="334"/>
      <c r="W14" s="334"/>
      <c r="X14" s="334">
        <v>-41429</v>
      </c>
      <c r="Y14" s="334">
        <v>4124594</v>
      </c>
      <c r="Z14" s="334">
        <v>5897766</v>
      </c>
      <c r="AA14" s="350">
        <v>98181</v>
      </c>
      <c r="AB14" s="350">
        <v>230601</v>
      </c>
      <c r="AC14" s="334">
        <v>-76617</v>
      </c>
      <c r="AD14" s="334">
        <v>469139</v>
      </c>
      <c r="AE14" s="352"/>
      <c r="AF14" s="352"/>
      <c r="AG14" s="334"/>
      <c r="AH14" s="334">
        <v>521546</v>
      </c>
      <c r="AI14" s="334">
        <v>97216</v>
      </c>
      <c r="AJ14" s="334">
        <v>443633</v>
      </c>
      <c r="AK14" s="334">
        <v>314591</v>
      </c>
      <c r="AL14" s="334">
        <v>709409</v>
      </c>
      <c r="AM14" s="353"/>
      <c r="AN14" s="353"/>
      <c r="AO14" s="803"/>
      <c r="AP14" s="803">
        <v>3821419</v>
      </c>
      <c r="AQ14" s="333">
        <v>-57562</v>
      </c>
      <c r="AR14" s="333">
        <v>-2215</v>
      </c>
      <c r="AS14" s="351"/>
      <c r="AT14" s="351"/>
      <c r="AU14" s="334">
        <v>1364672</v>
      </c>
      <c r="AV14" s="334"/>
      <c r="AW14" s="342"/>
      <c r="AX14" s="334"/>
    </row>
    <row r="15" spans="1:50" ht="17.25">
      <c r="A15" s="275" t="s">
        <v>208</v>
      </c>
      <c r="B15" s="339"/>
      <c r="C15" s="332"/>
      <c r="D15" s="799"/>
      <c r="E15" s="332"/>
      <c r="F15" s="561"/>
      <c r="G15" s="342"/>
      <c r="H15" s="334"/>
      <c r="I15" s="334"/>
      <c r="J15" s="334"/>
      <c r="K15" s="334"/>
      <c r="L15" s="334"/>
      <c r="M15" s="345"/>
      <c r="N15" s="345"/>
      <c r="O15" s="334"/>
      <c r="P15" s="334"/>
      <c r="Q15" s="348"/>
      <c r="R15" s="348"/>
      <c r="S15" s="334"/>
      <c r="T15" s="334"/>
      <c r="U15" s="334"/>
      <c r="V15" s="334"/>
      <c r="W15" s="334"/>
      <c r="X15" s="334"/>
      <c r="Y15" s="334"/>
      <c r="Z15" s="334"/>
      <c r="AA15" s="350"/>
      <c r="AB15" s="350"/>
      <c r="AC15" s="334"/>
      <c r="AD15" s="334"/>
      <c r="AE15" s="352"/>
      <c r="AF15" s="352"/>
      <c r="AG15" s="334"/>
      <c r="AH15" s="334"/>
      <c r="AI15" s="334"/>
      <c r="AJ15" s="334"/>
      <c r="AK15" s="334"/>
      <c r="AL15" s="334"/>
      <c r="AM15" s="353"/>
      <c r="AN15" s="353"/>
      <c r="AO15" s="803"/>
      <c r="AP15" s="803"/>
      <c r="AQ15" s="333">
        <v>1229142</v>
      </c>
      <c r="AR15" s="333">
        <v>13037</v>
      </c>
      <c r="AS15" s="351">
        <v>4922264</v>
      </c>
      <c r="AT15" s="351">
        <v>-1012860</v>
      </c>
      <c r="AU15" s="334"/>
      <c r="AV15" s="334"/>
      <c r="AW15" s="342"/>
      <c r="AX15" s="334"/>
    </row>
    <row r="16" spans="1:50" ht="16.5">
      <c r="A16" s="335" t="s">
        <v>151</v>
      </c>
      <c r="B16" s="339"/>
      <c r="C16" s="331"/>
      <c r="D16" s="798"/>
      <c r="E16" s="331"/>
      <c r="F16" s="560"/>
      <c r="G16" s="341"/>
      <c r="H16" s="333"/>
      <c r="I16" s="333"/>
      <c r="J16" s="333"/>
      <c r="K16" s="333"/>
      <c r="L16" s="333"/>
      <c r="M16" s="344"/>
      <c r="N16" s="344"/>
      <c r="O16" s="333"/>
      <c r="P16" s="333"/>
      <c r="Q16" s="347"/>
      <c r="R16" s="347"/>
      <c r="S16" s="333"/>
      <c r="T16" s="333"/>
      <c r="U16" s="333"/>
      <c r="V16" s="333"/>
      <c r="W16" s="333"/>
      <c r="X16" s="333"/>
      <c r="Y16" s="333"/>
      <c r="Z16" s="333"/>
      <c r="AA16" s="350"/>
      <c r="AB16" s="350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53"/>
      <c r="AN16" s="353"/>
      <c r="AO16" s="804"/>
      <c r="AP16" s="804"/>
      <c r="AQ16" s="333"/>
      <c r="AR16" s="333"/>
      <c r="AS16" s="351"/>
      <c r="AT16" s="351"/>
      <c r="AU16" s="333"/>
      <c r="AV16" s="333"/>
      <c r="AW16" s="341"/>
      <c r="AX16" s="333"/>
    </row>
    <row r="17" spans="1:50" ht="16.5">
      <c r="A17" s="275" t="s">
        <v>152</v>
      </c>
      <c r="B17" s="339"/>
      <c r="C17" s="331">
        <v>1459725</v>
      </c>
      <c r="D17" s="798">
        <v>1944898</v>
      </c>
      <c r="E17" s="331">
        <v>706773</v>
      </c>
      <c r="F17" s="560">
        <v>675439</v>
      </c>
      <c r="G17" s="341"/>
      <c r="H17" s="333">
        <v>203323</v>
      </c>
      <c r="I17" s="333">
        <v>3872135</v>
      </c>
      <c r="J17" s="333">
        <v>589814</v>
      </c>
      <c r="K17" s="333"/>
      <c r="L17" s="333"/>
      <c r="M17" s="344">
        <v>1913630</v>
      </c>
      <c r="N17" s="344">
        <v>60283</v>
      </c>
      <c r="O17" s="333">
        <v>44993</v>
      </c>
      <c r="P17" s="333">
        <v>27045</v>
      </c>
      <c r="Q17" s="347">
        <v>2111196</v>
      </c>
      <c r="R17" s="347">
        <v>2230603</v>
      </c>
      <c r="S17" s="333">
        <v>1020745</v>
      </c>
      <c r="T17" s="333">
        <v>1827528</v>
      </c>
      <c r="U17" s="333">
        <v>528565</v>
      </c>
      <c r="V17" s="333">
        <v>681531</v>
      </c>
      <c r="W17" s="333">
        <v>172761</v>
      </c>
      <c r="X17" s="333">
        <v>299551</v>
      </c>
      <c r="Y17" s="333">
        <v>9810846</v>
      </c>
      <c r="Z17" s="333">
        <v>7021542</v>
      </c>
      <c r="AA17" s="350"/>
      <c r="AB17" s="350"/>
      <c r="AC17" s="333">
        <v>1296355</v>
      </c>
      <c r="AD17" s="333">
        <v>663692</v>
      </c>
      <c r="AE17" s="333">
        <v>21386</v>
      </c>
      <c r="AF17" s="333">
        <v>170463</v>
      </c>
      <c r="AG17" s="333"/>
      <c r="AH17" s="333">
        <v>90053</v>
      </c>
      <c r="AI17" s="333">
        <v>611608</v>
      </c>
      <c r="AJ17" s="333">
        <v>242379</v>
      </c>
      <c r="AK17" s="333">
        <v>413898</v>
      </c>
      <c r="AL17" s="333">
        <v>277992</v>
      </c>
      <c r="AM17" s="353"/>
      <c r="AN17" s="353"/>
      <c r="AO17" s="804"/>
      <c r="AP17" s="804"/>
      <c r="AQ17" s="333">
        <v>25429</v>
      </c>
      <c r="AR17" s="333"/>
      <c r="AS17" s="351"/>
      <c r="AT17" s="351"/>
      <c r="AU17" s="333">
        <v>1965480</v>
      </c>
      <c r="AV17" s="333">
        <v>1900759</v>
      </c>
      <c r="AW17" s="341"/>
      <c r="AX17" s="333">
        <f>-1039656+13087996</f>
        <v>12048340</v>
      </c>
    </row>
    <row r="18" spans="1:50" ht="16.5">
      <c r="A18" s="275" t="s">
        <v>153</v>
      </c>
      <c r="B18" s="339"/>
      <c r="C18" s="331"/>
      <c r="D18" s="798"/>
      <c r="E18" s="331"/>
      <c r="F18" s="560"/>
      <c r="G18" s="341"/>
      <c r="H18" s="333"/>
      <c r="I18" s="333">
        <v>132974</v>
      </c>
      <c r="J18" s="333">
        <v>179096</v>
      </c>
      <c r="K18" s="333"/>
      <c r="L18" s="333"/>
      <c r="M18" s="344"/>
      <c r="N18" s="344"/>
      <c r="O18" s="333"/>
      <c r="P18" s="333"/>
      <c r="Q18" s="347">
        <v>845</v>
      </c>
      <c r="R18" s="347">
        <v>1070</v>
      </c>
      <c r="S18" s="333"/>
      <c r="T18" s="333"/>
      <c r="U18" s="333"/>
      <c r="V18" s="333"/>
      <c r="W18" s="333">
        <v>217713</v>
      </c>
      <c r="X18" s="333">
        <v>288466</v>
      </c>
      <c r="Y18" s="333">
        <v>350801</v>
      </c>
      <c r="Z18" s="333">
        <v>308241</v>
      </c>
      <c r="AA18" s="350"/>
      <c r="AB18" s="350"/>
      <c r="AC18" s="333"/>
      <c r="AD18" s="333"/>
      <c r="AE18" s="333">
        <v>11068</v>
      </c>
      <c r="AF18" s="333">
        <v>13226</v>
      </c>
      <c r="AG18" s="333"/>
      <c r="AH18" s="333"/>
      <c r="AI18" s="333"/>
      <c r="AJ18" s="333"/>
      <c r="AK18" s="333"/>
      <c r="AL18" s="333"/>
      <c r="AM18" s="353"/>
      <c r="AN18" s="353"/>
      <c r="AO18" s="803">
        <v>99811</v>
      </c>
      <c r="AP18" s="803">
        <v>153054</v>
      </c>
      <c r="AQ18" s="333"/>
      <c r="AR18" s="333"/>
      <c r="AS18" s="351"/>
      <c r="AT18" s="351"/>
      <c r="AU18" s="333"/>
      <c r="AV18" s="333"/>
      <c r="AW18" s="341"/>
      <c r="AX18" s="333"/>
    </row>
    <row r="19" spans="1:50" ht="16.5">
      <c r="A19" s="275" t="s">
        <v>154</v>
      </c>
      <c r="B19" s="339"/>
      <c r="C19" s="331">
        <v>367707</v>
      </c>
      <c r="D19" s="798">
        <v>337405</v>
      </c>
      <c r="E19" s="331">
        <f>1568+1557</f>
        <v>3125</v>
      </c>
      <c r="F19" s="560">
        <f>769+2797</f>
        <v>3566</v>
      </c>
      <c r="G19" s="341"/>
      <c r="H19" s="333">
        <f>31021+8637</f>
        <v>39658</v>
      </c>
      <c r="I19" s="333">
        <v>340695</v>
      </c>
      <c r="J19" s="333">
        <v>371657</v>
      </c>
      <c r="K19" s="333">
        <f>19242+105000+19387</f>
        <v>143629</v>
      </c>
      <c r="L19" s="333">
        <f>13421-16457</f>
        <v>-3036</v>
      </c>
      <c r="M19" s="344">
        <v>16840</v>
      </c>
      <c r="N19" s="344">
        <v>64604</v>
      </c>
      <c r="O19" s="333">
        <f>28293+153115</f>
        <v>181408</v>
      </c>
      <c r="P19" s="333">
        <f>16478+146610</f>
        <v>163088</v>
      </c>
      <c r="Q19" s="347">
        <v>20757</v>
      </c>
      <c r="R19" s="347">
        <v>8757</v>
      </c>
      <c r="S19" s="333">
        <v>45142</v>
      </c>
      <c r="T19" s="333">
        <v>42853</v>
      </c>
      <c r="U19" s="333">
        <f>34389-6212</f>
        <v>28177</v>
      </c>
      <c r="V19" s="333">
        <f>17737-239</f>
        <v>17498</v>
      </c>
      <c r="W19" s="333">
        <v>950067</v>
      </c>
      <c r="X19" s="333">
        <v>1057948</v>
      </c>
      <c r="Y19" s="333">
        <f>8690+346585</f>
        <v>355275</v>
      </c>
      <c r="Z19" s="333">
        <f>266418+9793</f>
        <v>276211</v>
      </c>
      <c r="AA19" s="350">
        <v>1008</v>
      </c>
      <c r="AB19" s="350">
        <v>1338</v>
      </c>
      <c r="AC19" s="333">
        <v>84968</v>
      </c>
      <c r="AD19" s="333">
        <v>16878</v>
      </c>
      <c r="AE19" s="333">
        <f>6075-6083</f>
        <v>-8</v>
      </c>
      <c r="AF19" s="333">
        <f>6770+1811</f>
        <v>8581</v>
      </c>
      <c r="AG19" s="333">
        <v>330241</v>
      </c>
      <c r="AH19" s="333">
        <v>329208</v>
      </c>
      <c r="AI19" s="333">
        <f>51559+73256+4947</f>
        <v>129762</v>
      </c>
      <c r="AJ19" s="333">
        <f>40382+129208-5708</f>
        <v>163882</v>
      </c>
      <c r="AK19" s="333">
        <v>76115</v>
      </c>
      <c r="AL19" s="333">
        <v>81367</v>
      </c>
      <c r="AM19" s="353"/>
      <c r="AN19" s="353"/>
      <c r="AO19" s="803">
        <v>156073</v>
      </c>
      <c r="AP19" s="803">
        <v>176100</v>
      </c>
      <c r="AQ19" s="333">
        <f>36195+11435+51146</f>
        <v>98776</v>
      </c>
      <c r="AR19" s="333">
        <v>53958</v>
      </c>
      <c r="AS19" s="351">
        <v>21005</v>
      </c>
      <c r="AT19" s="351">
        <v>20831</v>
      </c>
      <c r="AU19" s="333">
        <f>39132+282869-3215+522+243905</f>
        <v>563213</v>
      </c>
      <c r="AV19" s="333">
        <f>30063+257267-385+1679+257945</f>
        <v>546569</v>
      </c>
      <c r="AW19" s="341">
        <f>-14673+4860763</f>
        <v>4846090</v>
      </c>
      <c r="AX19" s="333"/>
    </row>
    <row r="20" spans="1:50" s="623" customFormat="1" ht="18">
      <c r="A20" s="613" t="s">
        <v>20</v>
      </c>
      <c r="B20" s="614"/>
      <c r="C20" s="615">
        <v>132476370</v>
      </c>
      <c r="D20" s="800">
        <v>77124883</v>
      </c>
      <c r="E20" s="615">
        <v>7635662</v>
      </c>
      <c r="F20" s="616">
        <v>5322412</v>
      </c>
      <c r="G20" s="618"/>
      <c r="H20" s="617">
        <v>11686112</v>
      </c>
      <c r="I20" s="617">
        <v>173650797</v>
      </c>
      <c r="J20" s="617">
        <v>90858567</v>
      </c>
      <c r="K20" s="617">
        <v>23049532</v>
      </c>
      <c r="L20" s="617">
        <v>18837450</v>
      </c>
      <c r="M20" s="619">
        <v>70952214</v>
      </c>
      <c r="N20" s="619"/>
      <c r="O20" s="617">
        <v>10574009</v>
      </c>
      <c r="P20" s="617">
        <v>11508414</v>
      </c>
      <c r="Q20" s="620">
        <v>14384208</v>
      </c>
      <c r="R20" s="620">
        <v>9925916</v>
      </c>
      <c r="S20" s="617">
        <v>34400336</v>
      </c>
      <c r="T20" s="617">
        <v>30898360</v>
      </c>
      <c r="U20" s="617">
        <v>11561206</v>
      </c>
      <c r="V20" s="617">
        <v>11920232</v>
      </c>
      <c r="W20" s="617">
        <v>520504922</v>
      </c>
      <c r="X20" s="617">
        <v>288427898</v>
      </c>
      <c r="Y20" s="617">
        <v>644405858</v>
      </c>
      <c r="Z20" s="617">
        <v>295877785</v>
      </c>
      <c r="AA20" s="633">
        <v>24263988</v>
      </c>
      <c r="AB20" s="633">
        <v>16776957</v>
      </c>
      <c r="AC20" s="617">
        <v>47162242</v>
      </c>
      <c r="AD20" s="617">
        <v>30362981</v>
      </c>
      <c r="AE20" s="617">
        <v>114866299</v>
      </c>
      <c r="AF20" s="617">
        <v>85412400</v>
      </c>
      <c r="AG20" s="617">
        <v>212835005</v>
      </c>
      <c r="AH20" s="617">
        <v>138550450</v>
      </c>
      <c r="AI20" s="617">
        <v>66317147</v>
      </c>
      <c r="AJ20" s="617">
        <v>46438920</v>
      </c>
      <c r="AK20" s="617">
        <v>56895080</v>
      </c>
      <c r="AL20" s="617">
        <v>40694473</v>
      </c>
      <c r="AM20" s="622"/>
      <c r="AN20" s="622"/>
      <c r="AO20" s="805">
        <v>611882013</v>
      </c>
      <c r="AP20" s="805">
        <v>381679308</v>
      </c>
      <c r="AQ20" s="617">
        <v>16666811</v>
      </c>
      <c r="AR20" s="617">
        <v>13577937</v>
      </c>
      <c r="AS20" s="621">
        <v>29765145</v>
      </c>
      <c r="AT20" s="621">
        <v>20462886</v>
      </c>
      <c r="AU20" s="617">
        <v>139949181</v>
      </c>
      <c r="AV20" s="617">
        <v>73604841</v>
      </c>
      <c r="AW20" s="634">
        <v>4930287461</v>
      </c>
      <c r="AX20" s="635">
        <v>4550701246</v>
      </c>
    </row>
    <row r="21" spans="1:50" ht="16.5">
      <c r="A21" s="275" t="s">
        <v>60</v>
      </c>
      <c r="B21" s="335" t="s">
        <v>155</v>
      </c>
      <c r="C21" s="331">
        <v>3537648</v>
      </c>
      <c r="D21" s="798">
        <v>3093865</v>
      </c>
      <c r="E21" s="331">
        <v>36078</v>
      </c>
      <c r="F21" s="560">
        <v>28864</v>
      </c>
      <c r="G21" s="341"/>
      <c r="H21" s="333">
        <v>143785</v>
      </c>
      <c r="I21" s="333">
        <v>3500057</v>
      </c>
      <c r="J21" s="333">
        <v>2518072</v>
      </c>
      <c r="K21" s="333">
        <v>1115280</v>
      </c>
      <c r="L21" s="333">
        <v>1298423</v>
      </c>
      <c r="M21" s="344">
        <v>1761518</v>
      </c>
      <c r="N21" s="344">
        <v>1585085</v>
      </c>
      <c r="O21" s="333">
        <v>205827</v>
      </c>
      <c r="P21" s="333">
        <v>305377</v>
      </c>
      <c r="Q21" s="347">
        <v>663347</v>
      </c>
      <c r="R21" s="347">
        <v>498423</v>
      </c>
      <c r="S21" s="333">
        <v>1392412</v>
      </c>
      <c r="T21" s="333">
        <v>1380051</v>
      </c>
      <c r="U21" s="333">
        <v>211636</v>
      </c>
      <c r="V21" s="333">
        <v>338062</v>
      </c>
      <c r="W21" s="333">
        <v>11128774</v>
      </c>
      <c r="X21" s="333">
        <v>10387188</v>
      </c>
      <c r="Y21" s="333">
        <v>9426401</v>
      </c>
      <c r="Z21" s="333">
        <v>10870195</v>
      </c>
      <c r="AA21" s="350">
        <v>400310</v>
      </c>
      <c r="AB21" s="350">
        <v>542021</v>
      </c>
      <c r="AC21" s="333">
        <v>1086452</v>
      </c>
      <c r="AD21" s="333">
        <v>1005207</v>
      </c>
      <c r="AE21" s="333">
        <v>2741483</v>
      </c>
      <c r="AF21" s="333">
        <v>3198843</v>
      </c>
      <c r="AG21" s="333">
        <v>7536573</v>
      </c>
      <c r="AH21" s="333">
        <v>6589078</v>
      </c>
      <c r="AI21" s="333">
        <v>2078697</v>
      </c>
      <c r="AJ21" s="333">
        <v>1905421</v>
      </c>
      <c r="AK21" s="333">
        <v>981670</v>
      </c>
      <c r="AL21" s="333">
        <v>1310061</v>
      </c>
      <c r="AM21" s="353"/>
      <c r="AN21" s="353"/>
      <c r="AO21" s="803">
        <v>11892167</v>
      </c>
      <c r="AP21" s="803">
        <v>11128205</v>
      </c>
      <c r="AQ21" s="333">
        <v>800112</v>
      </c>
      <c r="AR21" s="333">
        <v>736873</v>
      </c>
      <c r="AS21" s="351">
        <v>1245612</v>
      </c>
      <c r="AT21" s="351">
        <v>1077599</v>
      </c>
      <c r="AU21" s="333">
        <v>6645512</v>
      </c>
      <c r="AV21" s="333">
        <v>5419592</v>
      </c>
      <c r="AW21" s="568">
        <v>144745372</v>
      </c>
      <c r="AX21" s="351">
        <v>142788462</v>
      </c>
    </row>
    <row r="22" spans="1:50" ht="16.5">
      <c r="A22" s="275" t="s">
        <v>156</v>
      </c>
      <c r="B22" s="335" t="s">
        <v>157</v>
      </c>
      <c r="C22" s="331">
        <v>8978718</v>
      </c>
      <c r="D22" s="798">
        <v>9335303</v>
      </c>
      <c r="E22" s="331">
        <v>1517274</v>
      </c>
      <c r="F22" s="560">
        <v>1676702</v>
      </c>
      <c r="G22" s="341"/>
      <c r="H22" s="333">
        <v>2217771</v>
      </c>
      <c r="I22" s="333">
        <v>12646262</v>
      </c>
      <c r="J22" s="333">
        <v>13263012</v>
      </c>
      <c r="K22" s="333">
        <v>4702067</v>
      </c>
      <c r="L22" s="333">
        <v>5714830</v>
      </c>
      <c r="M22" s="344">
        <v>4224511</v>
      </c>
      <c r="N22" s="344">
        <v>3742683</v>
      </c>
      <c r="O22" s="333">
        <v>1800242</v>
      </c>
      <c r="P22" s="333">
        <v>2538843</v>
      </c>
      <c r="Q22" s="347">
        <v>3907567</v>
      </c>
      <c r="R22" s="347">
        <v>4002510</v>
      </c>
      <c r="S22" s="333">
        <v>4682232</v>
      </c>
      <c r="T22" s="333">
        <v>6085592</v>
      </c>
      <c r="U22" s="333">
        <v>3684595</v>
      </c>
      <c r="V22" s="333">
        <v>4524684</v>
      </c>
      <c r="W22" s="333">
        <v>30758678</v>
      </c>
      <c r="X22" s="333">
        <v>30372273</v>
      </c>
      <c r="Y22" s="333">
        <v>18345141</v>
      </c>
      <c r="Z22" s="333">
        <v>21661609</v>
      </c>
      <c r="AA22" s="350">
        <v>1580553</v>
      </c>
      <c r="AB22" s="350">
        <v>1855958</v>
      </c>
      <c r="AC22" s="333">
        <v>3765564</v>
      </c>
      <c r="AD22" s="333">
        <v>3366853</v>
      </c>
      <c r="AE22" s="333">
        <v>10191826</v>
      </c>
      <c r="AF22" s="333">
        <v>11097657</v>
      </c>
      <c r="AG22" s="333">
        <v>18324294</v>
      </c>
      <c r="AH22" s="333">
        <v>16751000</v>
      </c>
      <c r="AI22" s="333">
        <v>6954090</v>
      </c>
      <c r="AJ22" s="333">
        <v>6756217</v>
      </c>
      <c r="AK22" s="333">
        <v>7624395</v>
      </c>
      <c r="AL22" s="333">
        <v>7746361</v>
      </c>
      <c r="AM22" s="353"/>
      <c r="AN22" s="353"/>
      <c r="AO22" s="803">
        <v>17557722</v>
      </c>
      <c r="AP22" s="803">
        <v>17452933</v>
      </c>
      <c r="AQ22" s="333">
        <v>3455366</v>
      </c>
      <c r="AR22" s="333">
        <v>3645782</v>
      </c>
      <c r="AS22" s="351">
        <v>2696344</v>
      </c>
      <c r="AT22" s="351">
        <v>2655249</v>
      </c>
      <c r="AU22" s="333">
        <v>11731466</v>
      </c>
      <c r="AV22" s="333">
        <v>11270724</v>
      </c>
      <c r="AW22" s="568">
        <v>260368663</v>
      </c>
      <c r="AX22" s="351">
        <v>229050297</v>
      </c>
    </row>
    <row r="23" spans="1:50" ht="16.5">
      <c r="A23" s="275" t="s">
        <v>203</v>
      </c>
      <c r="B23" s="335"/>
      <c r="C23" s="331"/>
      <c r="D23" s="798"/>
      <c r="E23" s="331"/>
      <c r="F23" s="560"/>
      <c r="G23" s="341"/>
      <c r="H23" s="333"/>
      <c r="I23" s="333"/>
      <c r="J23" s="333"/>
      <c r="K23" s="333"/>
      <c r="L23" s="333"/>
      <c r="M23" s="344"/>
      <c r="N23" s="344"/>
      <c r="O23" s="333"/>
      <c r="P23" s="333">
        <v>-448152</v>
      </c>
      <c r="Q23" s="347"/>
      <c r="R23" s="347"/>
      <c r="S23" s="333"/>
      <c r="T23" s="333"/>
      <c r="U23" s="333"/>
      <c r="V23" s="333"/>
      <c r="W23" s="333"/>
      <c r="X23" s="333"/>
      <c r="Y23" s="333"/>
      <c r="Z23" s="333"/>
      <c r="AA23" s="350"/>
      <c r="AB23" s="350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53"/>
      <c r="AN23" s="353"/>
      <c r="AO23" s="803"/>
      <c r="AP23" s="803"/>
      <c r="AQ23" s="333"/>
      <c r="AR23" s="333"/>
      <c r="AS23" s="351"/>
      <c r="AT23" s="351"/>
      <c r="AU23" s="333"/>
      <c r="AV23" s="333"/>
      <c r="AW23" s="568"/>
      <c r="AX23" s="351"/>
    </row>
    <row r="24" spans="1:50" ht="16.5">
      <c r="A24" s="275" t="s">
        <v>158</v>
      </c>
      <c r="B24" s="339"/>
      <c r="C24" s="331">
        <v>377</v>
      </c>
      <c r="D24" s="798">
        <v>1308</v>
      </c>
      <c r="E24" s="331">
        <v>3004</v>
      </c>
      <c r="F24" s="560">
        <v>-5109</v>
      </c>
      <c r="G24" s="341"/>
      <c r="H24" s="333">
        <v>-161405</v>
      </c>
      <c r="I24" s="333">
        <v>7464</v>
      </c>
      <c r="J24" s="333">
        <v>14751</v>
      </c>
      <c r="K24" s="333">
        <v>9757</v>
      </c>
      <c r="L24" s="333">
        <v>1773</v>
      </c>
      <c r="M24" s="344">
        <v>-45</v>
      </c>
      <c r="N24" s="344">
        <v>209</v>
      </c>
      <c r="O24" s="333"/>
      <c r="P24" s="333"/>
      <c r="Q24" s="347">
        <v>3319</v>
      </c>
      <c r="R24" s="347">
        <v>4363</v>
      </c>
      <c r="S24" s="333"/>
      <c r="T24" s="333"/>
      <c r="U24" s="333">
        <v>15625</v>
      </c>
      <c r="V24" s="333">
        <v>9413</v>
      </c>
      <c r="W24" s="333"/>
      <c r="X24" s="333"/>
      <c r="Y24" s="333">
        <v>9893</v>
      </c>
      <c r="Z24" s="333">
        <v>-6756</v>
      </c>
      <c r="AA24" s="350">
        <v>441</v>
      </c>
      <c r="AB24" s="350">
        <v>-1100</v>
      </c>
      <c r="AC24" s="333"/>
      <c r="AD24" s="333"/>
      <c r="AE24" s="333"/>
      <c r="AF24" s="333"/>
      <c r="AG24" s="333">
        <v>27048</v>
      </c>
      <c r="AH24" s="333">
        <v>6574</v>
      </c>
      <c r="AI24" s="333"/>
      <c r="AJ24" s="333"/>
      <c r="AK24" s="333">
        <v>9527</v>
      </c>
      <c r="AL24" s="333"/>
      <c r="AM24" s="353"/>
      <c r="AN24" s="353"/>
      <c r="AO24" s="803">
        <v>1143</v>
      </c>
      <c r="AP24" s="803">
        <v>3039</v>
      </c>
      <c r="AQ24" s="333"/>
      <c r="AR24" s="333"/>
      <c r="AS24" s="351">
        <v>-945</v>
      </c>
      <c r="AT24" s="351">
        <v>1632</v>
      </c>
      <c r="AU24" s="333"/>
      <c r="AV24" s="333"/>
      <c r="AW24" s="568">
        <v>-4235667</v>
      </c>
      <c r="AX24" s="351">
        <v>1183056</v>
      </c>
    </row>
    <row r="25" spans="1:50" ht="17.25">
      <c r="A25" s="275" t="s">
        <v>159</v>
      </c>
      <c r="B25" s="339"/>
      <c r="C25" s="332"/>
      <c r="D25" s="799"/>
      <c r="E25" s="332"/>
      <c r="F25" s="561"/>
      <c r="G25" s="342"/>
      <c r="H25" s="334"/>
      <c r="I25" s="334">
        <v>7098</v>
      </c>
      <c r="J25" s="334">
        <v>10898</v>
      </c>
      <c r="K25" s="334">
        <v>21399</v>
      </c>
      <c r="L25" s="334">
        <v>18370</v>
      </c>
      <c r="M25" s="345"/>
      <c r="N25" s="345"/>
      <c r="O25" s="334"/>
      <c r="P25" s="334"/>
      <c r="Q25" s="348"/>
      <c r="R25" s="348"/>
      <c r="S25" s="334"/>
      <c r="T25" s="334"/>
      <c r="U25" s="334"/>
      <c r="V25" s="334">
        <v>-38</v>
      </c>
      <c r="W25" s="334"/>
      <c r="X25" s="334"/>
      <c r="Y25" s="334">
        <v>15698</v>
      </c>
      <c r="Z25" s="334">
        <v>21868</v>
      </c>
      <c r="AA25" s="350"/>
      <c r="AB25" s="350">
        <v>1366</v>
      </c>
      <c r="AC25" s="334"/>
      <c r="AD25" s="334"/>
      <c r="AE25" s="352"/>
      <c r="AF25" s="352"/>
      <c r="AG25" s="334">
        <v>98</v>
      </c>
      <c r="AH25" s="334">
        <v>12579</v>
      </c>
      <c r="AI25" s="334"/>
      <c r="AJ25" s="334"/>
      <c r="AK25" s="334">
        <v>3477</v>
      </c>
      <c r="AL25" s="334"/>
      <c r="AM25" s="353"/>
      <c r="AN25" s="353"/>
      <c r="AO25" s="806">
        <v>1284</v>
      </c>
      <c r="AP25" s="806">
        <v>1728</v>
      </c>
      <c r="AQ25" s="333"/>
      <c r="AR25" s="333"/>
      <c r="AS25" s="351">
        <v>2650</v>
      </c>
      <c r="AT25" s="351">
        <v>1252</v>
      </c>
      <c r="AU25" s="334"/>
      <c r="AV25" s="334"/>
      <c r="AW25" s="342"/>
      <c r="AX25" s="334"/>
    </row>
    <row r="26" spans="1:50" ht="16.5">
      <c r="A26" s="275" t="s">
        <v>160</v>
      </c>
      <c r="B26" s="339"/>
      <c r="C26" s="331"/>
      <c r="D26" s="798"/>
      <c r="E26" s="331"/>
      <c r="F26" s="560"/>
      <c r="G26" s="341"/>
      <c r="H26" s="333"/>
      <c r="I26" s="333"/>
      <c r="J26" s="333"/>
      <c r="K26" s="333"/>
      <c r="L26" s="333"/>
      <c r="M26" s="344"/>
      <c r="N26" s="344"/>
      <c r="O26" s="333"/>
      <c r="P26" s="333"/>
      <c r="Q26" s="347"/>
      <c r="R26" s="347"/>
      <c r="S26" s="333"/>
      <c r="T26" s="333"/>
      <c r="U26" s="333"/>
      <c r="V26" s="333"/>
      <c r="W26" s="333">
        <v>905786</v>
      </c>
      <c r="X26" s="333">
        <v>268564</v>
      </c>
      <c r="Y26" s="333"/>
      <c r="Z26" s="333"/>
      <c r="AA26" s="350"/>
      <c r="AB26" s="350"/>
      <c r="AC26" s="333"/>
      <c r="AD26" s="333"/>
      <c r="AE26" s="333">
        <v>1380742</v>
      </c>
      <c r="AF26" s="333">
        <v>565626</v>
      </c>
      <c r="AG26" s="333"/>
      <c r="AH26" s="333"/>
      <c r="AI26" s="333">
        <v>263942</v>
      </c>
      <c r="AJ26" s="333">
        <v>252164</v>
      </c>
      <c r="AK26" s="333"/>
      <c r="AL26" s="333"/>
      <c r="AM26" s="353"/>
      <c r="AN26" s="353"/>
      <c r="AO26" s="804"/>
      <c r="AP26" s="804"/>
      <c r="AQ26" s="333">
        <v>234577</v>
      </c>
      <c r="AR26" s="333">
        <v>183576</v>
      </c>
      <c r="AS26" s="351">
        <v>66884</v>
      </c>
      <c r="AT26" s="351">
        <v>76647</v>
      </c>
      <c r="AU26" s="333">
        <v>-3601669</v>
      </c>
      <c r="AV26" s="333">
        <v>-549499</v>
      </c>
      <c r="AW26" s="568">
        <v>69696278</v>
      </c>
      <c r="AX26" s="351">
        <v>63590787</v>
      </c>
    </row>
    <row r="27" spans="1:50" ht="16.5">
      <c r="A27" s="275" t="s">
        <v>161</v>
      </c>
      <c r="B27" s="339"/>
      <c r="C27" s="331">
        <v>259572</v>
      </c>
      <c r="D27" s="798">
        <v>181597</v>
      </c>
      <c r="E27" s="331"/>
      <c r="F27" s="560"/>
      <c r="G27" s="341"/>
      <c r="H27" s="333"/>
      <c r="I27" s="333"/>
      <c r="J27" s="333"/>
      <c r="K27" s="333"/>
      <c r="L27" s="333"/>
      <c r="M27" s="344"/>
      <c r="N27" s="344"/>
      <c r="O27" s="333"/>
      <c r="P27" s="333"/>
      <c r="Q27" s="347"/>
      <c r="R27" s="347"/>
      <c r="S27" s="333"/>
      <c r="T27" s="333"/>
      <c r="U27" s="333"/>
      <c r="V27" s="333"/>
      <c r="W27" s="333"/>
      <c r="X27" s="333"/>
      <c r="Y27" s="333"/>
      <c r="Z27" s="333"/>
      <c r="AA27" s="350"/>
      <c r="AB27" s="350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53"/>
      <c r="AN27" s="353"/>
      <c r="AO27" s="803">
        <v>2177798</v>
      </c>
      <c r="AP27" s="803">
        <v>3109859</v>
      </c>
      <c r="AQ27" s="333"/>
      <c r="AR27" s="333"/>
      <c r="AS27" s="351"/>
      <c r="AT27" s="351"/>
      <c r="AU27" s="333"/>
      <c r="AV27" s="333"/>
      <c r="AW27" s="568"/>
      <c r="AX27" s="351"/>
    </row>
    <row r="28" spans="1:50" ht="16.5">
      <c r="A28" s="275" t="s">
        <v>162</v>
      </c>
      <c r="B28" s="339"/>
      <c r="C28" s="331"/>
      <c r="D28" s="798"/>
      <c r="E28" s="331"/>
      <c r="F28" s="560"/>
      <c r="G28" s="341"/>
      <c r="H28" s="333"/>
      <c r="I28" s="333"/>
      <c r="J28" s="333"/>
      <c r="K28" s="333"/>
      <c r="L28" s="333"/>
      <c r="M28" s="344"/>
      <c r="N28" s="344"/>
      <c r="O28" s="333"/>
      <c r="P28" s="333"/>
      <c r="Q28" s="347"/>
      <c r="R28" s="347"/>
      <c r="S28" s="333"/>
      <c r="T28" s="333"/>
      <c r="U28" s="333"/>
      <c r="V28" s="333"/>
      <c r="W28" s="333"/>
      <c r="X28" s="333"/>
      <c r="Y28" s="333"/>
      <c r="Z28" s="333"/>
      <c r="AA28" s="350"/>
      <c r="AB28" s="350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53"/>
      <c r="AN28" s="353"/>
      <c r="AO28" s="804"/>
      <c r="AP28" s="804"/>
      <c r="AQ28" s="333"/>
      <c r="AR28" s="333"/>
      <c r="AS28" s="351"/>
      <c r="AT28" s="351"/>
      <c r="AU28" s="333"/>
      <c r="AV28" s="333"/>
      <c r="AW28" s="568"/>
      <c r="AX28" s="351"/>
    </row>
    <row r="29" spans="1:50" ht="16.5">
      <c r="A29" s="275" t="s">
        <v>163</v>
      </c>
      <c r="B29" s="339"/>
      <c r="C29" s="331">
        <v>48876</v>
      </c>
      <c r="D29" s="798"/>
      <c r="E29" s="331"/>
      <c r="F29" s="560"/>
      <c r="G29" s="341"/>
      <c r="H29" s="333">
        <v>264968</v>
      </c>
      <c r="I29" s="333">
        <v>-695027</v>
      </c>
      <c r="J29" s="333">
        <v>840128</v>
      </c>
      <c r="K29" s="333"/>
      <c r="L29" s="333">
        <v>117000</v>
      </c>
      <c r="M29" s="344"/>
      <c r="N29" s="344"/>
      <c r="O29" s="333">
        <v>80500</v>
      </c>
      <c r="P29" s="333">
        <v>371211</v>
      </c>
      <c r="Q29" s="347"/>
      <c r="R29" s="347">
        <v>76685</v>
      </c>
      <c r="S29" s="333">
        <v>25000</v>
      </c>
      <c r="T29" s="333">
        <v>86500</v>
      </c>
      <c r="U29" s="333">
        <v>77300</v>
      </c>
      <c r="V29" s="333"/>
      <c r="W29" s="333">
        <v>-989671</v>
      </c>
      <c r="X29" s="333">
        <v>1554035</v>
      </c>
      <c r="Y29" s="333">
        <v>201234</v>
      </c>
      <c r="Z29" s="333">
        <v>1399277</v>
      </c>
      <c r="AA29" s="350">
        <v>36902</v>
      </c>
      <c r="AB29" s="350">
        <v>-29197</v>
      </c>
      <c r="AC29" s="333">
        <v>-23314</v>
      </c>
      <c r="AD29" s="333">
        <v>638782</v>
      </c>
      <c r="AE29" s="333">
        <v>-57369</v>
      </c>
      <c r="AF29" s="333">
        <v>124934</v>
      </c>
      <c r="AG29" s="333">
        <v>218477</v>
      </c>
      <c r="AH29" s="333"/>
      <c r="AI29" s="333"/>
      <c r="AJ29" s="333"/>
      <c r="AK29" s="333"/>
      <c r="AL29" s="333">
        <v>333730</v>
      </c>
      <c r="AM29" s="353"/>
      <c r="AN29" s="353"/>
      <c r="AO29" s="803">
        <v>-1394945</v>
      </c>
      <c r="AP29" s="803">
        <v>236830</v>
      </c>
      <c r="AQ29" s="333"/>
      <c r="AR29" s="333">
        <v>197038</v>
      </c>
      <c r="AS29" s="351">
        <v>246600</v>
      </c>
      <c r="AT29" s="351">
        <v>321240</v>
      </c>
      <c r="AU29" s="333">
        <v>2797</v>
      </c>
      <c r="AV29" s="333"/>
      <c r="AW29" s="568">
        <v>2195598</v>
      </c>
      <c r="AX29" s="351">
        <v>6111415</v>
      </c>
    </row>
    <row r="30" spans="1:50" ht="17.25">
      <c r="A30" s="275" t="s">
        <v>164</v>
      </c>
      <c r="B30" s="339"/>
      <c r="C30" s="332">
        <v>-122</v>
      </c>
      <c r="D30" s="799">
        <v>852</v>
      </c>
      <c r="E30" s="332"/>
      <c r="F30" s="561"/>
      <c r="G30" s="342"/>
      <c r="H30" s="334"/>
      <c r="I30" s="334"/>
      <c r="J30" s="334"/>
      <c r="K30" s="334"/>
      <c r="L30" s="334"/>
      <c r="M30" s="345"/>
      <c r="N30" s="345"/>
      <c r="O30" s="334"/>
      <c r="P30" s="334"/>
      <c r="Q30" s="348"/>
      <c r="R30" s="348"/>
      <c r="S30" s="334"/>
      <c r="T30" s="334"/>
      <c r="U30" s="334"/>
      <c r="V30" s="334"/>
      <c r="W30" s="334">
        <v>5245</v>
      </c>
      <c r="X30" s="334">
        <v>361730</v>
      </c>
      <c r="Y30" s="334"/>
      <c r="Z30" s="334"/>
      <c r="AA30" s="350"/>
      <c r="AB30" s="350"/>
      <c r="AC30" s="334"/>
      <c r="AD30" s="334"/>
      <c r="AE30" s="352">
        <v>-75</v>
      </c>
      <c r="AF30" s="352">
        <v>-450</v>
      </c>
      <c r="AG30" s="334"/>
      <c r="AH30" s="334"/>
      <c r="AI30" s="334"/>
      <c r="AJ30" s="334"/>
      <c r="AK30" s="334"/>
      <c r="AL30" s="334"/>
      <c r="AM30" s="353"/>
      <c r="AN30" s="353"/>
      <c r="AO30" s="806">
        <v>-2483</v>
      </c>
      <c r="AP30" s="806">
        <v>418362</v>
      </c>
      <c r="AQ30" s="333"/>
      <c r="AR30" s="333"/>
      <c r="AS30" s="351"/>
      <c r="AT30" s="351"/>
      <c r="AU30" s="334"/>
      <c r="AV30" s="334"/>
      <c r="AW30" s="342"/>
      <c r="AX30" s="334"/>
    </row>
    <row r="31" spans="1:50" ht="17.25">
      <c r="A31" s="275" t="s">
        <v>216</v>
      </c>
      <c r="B31" s="339"/>
      <c r="C31" s="332"/>
      <c r="D31" s="799">
        <v>-122</v>
      </c>
      <c r="E31" s="332"/>
      <c r="F31" s="561"/>
      <c r="G31" s="342"/>
      <c r="H31" s="334"/>
      <c r="I31" s="334">
        <v>5497</v>
      </c>
      <c r="J31" s="334">
        <v>14467</v>
      </c>
      <c r="K31" s="334"/>
      <c r="L31" s="334"/>
      <c r="M31" s="345"/>
      <c r="N31" s="345">
        <v>312500</v>
      </c>
      <c r="O31" s="334"/>
      <c r="P31" s="334"/>
      <c r="Q31" s="348"/>
      <c r="R31" s="348"/>
      <c r="S31" s="334"/>
      <c r="T31" s="334"/>
      <c r="U31" s="334"/>
      <c r="V31" s="334"/>
      <c r="W31" s="334"/>
      <c r="X31" s="334"/>
      <c r="Y31" s="334"/>
      <c r="Z31" s="334"/>
      <c r="AA31" s="350"/>
      <c r="AB31" s="350"/>
      <c r="AC31" s="334"/>
      <c r="AD31" s="334"/>
      <c r="AE31" s="352"/>
      <c r="AF31" s="352"/>
      <c r="AG31" s="334"/>
      <c r="AH31" s="334"/>
      <c r="AI31" s="334">
        <v>17856</v>
      </c>
      <c r="AJ31" s="334">
        <v>9415</v>
      </c>
      <c r="AK31" s="334"/>
      <c r="AL31" s="334"/>
      <c r="AM31" s="353"/>
      <c r="AN31" s="353"/>
      <c r="AO31" s="806"/>
      <c r="AP31" s="806"/>
      <c r="AQ31" s="333">
        <f>14561-13819</f>
        <v>742</v>
      </c>
      <c r="AR31" s="333"/>
      <c r="AS31" s="351"/>
      <c r="AT31" s="351"/>
      <c r="AU31" s="334"/>
      <c r="AV31" s="334"/>
      <c r="AW31" s="342">
        <f>23776346-43939</f>
        <v>23732407</v>
      </c>
      <c r="AX31" s="334">
        <f>-30371+74123421</f>
        <v>74093050</v>
      </c>
    </row>
    <row r="32" spans="1:50" ht="17.25">
      <c r="A32" s="275" t="s">
        <v>165</v>
      </c>
      <c r="B32" s="339"/>
      <c r="C32" s="331">
        <v>829828</v>
      </c>
      <c r="D32" s="798">
        <v>828339</v>
      </c>
      <c r="E32" s="331">
        <v>25660</v>
      </c>
      <c r="F32" s="560">
        <v>27690</v>
      </c>
      <c r="G32" s="341"/>
      <c r="H32" s="333">
        <v>123719</v>
      </c>
      <c r="I32" s="333">
        <v>878566</v>
      </c>
      <c r="J32" s="333">
        <v>885316</v>
      </c>
      <c r="K32" s="333">
        <v>38485</v>
      </c>
      <c r="L32" s="333">
        <v>30684</v>
      </c>
      <c r="M32" s="344">
        <v>404063</v>
      </c>
      <c r="N32" s="344">
        <v>409731</v>
      </c>
      <c r="O32" s="333">
        <v>11218</v>
      </c>
      <c r="P32" s="333">
        <v>12433</v>
      </c>
      <c r="Q32" s="347">
        <v>47867</v>
      </c>
      <c r="R32" s="347">
        <v>43147</v>
      </c>
      <c r="S32" s="333">
        <v>34551</v>
      </c>
      <c r="T32" s="333">
        <v>41797</v>
      </c>
      <c r="U32" s="333">
        <v>27592</v>
      </c>
      <c r="V32" s="333">
        <v>30352</v>
      </c>
      <c r="W32" s="333">
        <v>2610009</v>
      </c>
      <c r="X32" s="334">
        <v>2602314</v>
      </c>
      <c r="Y32" s="333">
        <v>4729705</v>
      </c>
      <c r="Z32" s="333">
        <v>4838472</v>
      </c>
      <c r="AA32" s="351">
        <v>121513</v>
      </c>
      <c r="AB32" s="351">
        <v>120758</v>
      </c>
      <c r="AC32" s="333">
        <v>216426</v>
      </c>
      <c r="AD32" s="333">
        <v>209472</v>
      </c>
      <c r="AE32" s="333">
        <v>485588</v>
      </c>
      <c r="AF32" s="333">
        <v>460140</v>
      </c>
      <c r="AG32" s="333">
        <v>1147191</v>
      </c>
      <c r="AH32" s="333">
        <v>1038897</v>
      </c>
      <c r="AI32" s="333">
        <v>320898</v>
      </c>
      <c r="AJ32" s="333">
        <v>330974</v>
      </c>
      <c r="AK32" s="333">
        <v>231070</v>
      </c>
      <c r="AL32" s="333">
        <v>231608</v>
      </c>
      <c r="AM32" s="353"/>
      <c r="AN32" s="353"/>
      <c r="AO32" s="803">
        <v>4573845</v>
      </c>
      <c r="AP32" s="803">
        <v>3967104</v>
      </c>
      <c r="AQ32" s="333">
        <v>19086</v>
      </c>
      <c r="AR32" s="333">
        <v>20519</v>
      </c>
      <c r="AS32" s="351">
        <v>66813</v>
      </c>
      <c r="AT32" s="351">
        <v>70587</v>
      </c>
      <c r="AU32" s="333">
        <v>458622</v>
      </c>
      <c r="AV32" s="333">
        <v>414138</v>
      </c>
      <c r="AW32" s="341">
        <v>569179</v>
      </c>
      <c r="AX32" s="333">
        <v>614146</v>
      </c>
    </row>
    <row r="33" spans="1:50" s="623" customFormat="1" ht="18">
      <c r="A33" s="613" t="s">
        <v>166</v>
      </c>
      <c r="B33" s="614"/>
      <c r="C33" s="615">
        <v>13652897</v>
      </c>
      <c r="D33" s="800">
        <v>13441142</v>
      </c>
      <c r="E33" s="615">
        <v>1582016</v>
      </c>
      <c r="F33" s="616">
        <v>1728147</v>
      </c>
      <c r="G33" s="618"/>
      <c r="H33" s="617">
        <v>2588838</v>
      </c>
      <c r="I33" s="617">
        <v>16349917</v>
      </c>
      <c r="J33" s="617">
        <v>17546644</v>
      </c>
      <c r="K33" s="617">
        <v>5886988</v>
      </c>
      <c r="L33" s="617">
        <v>7181080</v>
      </c>
      <c r="M33" s="619">
        <v>6390047</v>
      </c>
      <c r="N33" s="619">
        <v>6050208</v>
      </c>
      <c r="O33" s="617">
        <v>2097787</v>
      </c>
      <c r="P33" s="617">
        <v>2779712</v>
      </c>
      <c r="Q33" s="620">
        <v>4622100</v>
      </c>
      <c r="R33" s="620">
        <v>4625128</v>
      </c>
      <c r="S33" s="617">
        <v>6134195</v>
      </c>
      <c r="T33" s="617">
        <v>7593940</v>
      </c>
      <c r="U33" s="617">
        <v>4016748</v>
      </c>
      <c r="V33" s="617">
        <v>4902473</v>
      </c>
      <c r="W33" s="617">
        <v>44418821</v>
      </c>
      <c r="X33" s="617"/>
      <c r="Y33" s="617">
        <v>32728072</v>
      </c>
      <c r="Z33" s="617">
        <v>38784665</v>
      </c>
      <c r="AA33" s="621">
        <v>2139719</v>
      </c>
      <c r="AB33" s="621">
        <v>2489806</v>
      </c>
      <c r="AC33" s="617">
        <v>5045129</v>
      </c>
      <c r="AD33" s="617">
        <v>5220316</v>
      </c>
      <c r="AE33" s="617">
        <v>14875138</v>
      </c>
      <c r="AF33" s="617">
        <v>15446750</v>
      </c>
      <c r="AG33" s="617">
        <v>27253681</v>
      </c>
      <c r="AH33" s="617">
        <v>24398128</v>
      </c>
      <c r="AI33" s="617">
        <v>3631012</v>
      </c>
      <c r="AJ33" s="617">
        <v>9254191</v>
      </c>
      <c r="AK33" s="617">
        <v>8850139</v>
      </c>
      <c r="AL33" s="617">
        <v>9621760</v>
      </c>
      <c r="AM33" s="622"/>
      <c r="AN33" s="622"/>
      <c r="AO33" s="805">
        <v>34806531</v>
      </c>
      <c r="AP33" s="805">
        <v>36318059</v>
      </c>
      <c r="AQ33" s="617">
        <v>4509884</v>
      </c>
      <c r="AR33" s="617">
        <v>4783789</v>
      </c>
      <c r="AS33" s="621">
        <v>4323958</v>
      </c>
      <c r="AT33" s="621">
        <v>4204206</v>
      </c>
      <c r="AU33" s="617">
        <v>15236728</v>
      </c>
      <c r="AV33" s="617">
        <v>16544968</v>
      </c>
      <c r="AW33" s="618">
        <v>497071830</v>
      </c>
      <c r="AX33" s="617">
        <v>517431213</v>
      </c>
    </row>
    <row r="34" spans="1:50" ht="16.5">
      <c r="A34" s="275" t="s">
        <v>167</v>
      </c>
      <c r="B34" s="335" t="s">
        <v>168</v>
      </c>
      <c r="C34" s="331">
        <v>30130450</v>
      </c>
      <c r="D34" s="798">
        <v>41705302</v>
      </c>
      <c r="E34" s="331">
        <v>1818953</v>
      </c>
      <c r="F34" s="560">
        <v>1927030</v>
      </c>
      <c r="G34" s="341"/>
      <c r="H34" s="333">
        <v>7615075</v>
      </c>
      <c r="I34" s="333">
        <v>38148668</v>
      </c>
      <c r="J34" s="333">
        <v>44378386</v>
      </c>
      <c r="K34" s="333">
        <v>3643473</v>
      </c>
      <c r="L34" s="333">
        <v>2797618</v>
      </c>
      <c r="M34" s="344">
        <v>12003681</v>
      </c>
      <c r="N34" s="344">
        <v>13168585</v>
      </c>
      <c r="O34" s="333">
        <v>2439383</v>
      </c>
      <c r="P34" s="333">
        <v>2861161</v>
      </c>
      <c r="Q34" s="347">
        <v>977155</v>
      </c>
      <c r="R34" s="347">
        <v>570455</v>
      </c>
      <c r="S34" s="333">
        <v>10866850</v>
      </c>
      <c r="T34" s="333">
        <v>9519702</v>
      </c>
      <c r="U34" s="333">
        <v>3575735</v>
      </c>
      <c r="V34" s="333">
        <v>3486825</v>
      </c>
      <c r="W34" s="333">
        <v>132830567</v>
      </c>
      <c r="X34" s="333">
        <v>130892837</v>
      </c>
      <c r="Y34" s="333">
        <v>142456919</v>
      </c>
      <c r="Z34" s="333">
        <v>131202232</v>
      </c>
      <c r="AA34" s="351">
        <v>6067266</v>
      </c>
      <c r="AB34" s="351">
        <v>3921608</v>
      </c>
      <c r="AC34" s="333">
        <v>27308031</v>
      </c>
      <c r="AD34" s="333">
        <v>24883782</v>
      </c>
      <c r="AE34" s="333">
        <v>26167931</v>
      </c>
      <c r="AF34" s="333">
        <v>24513947</v>
      </c>
      <c r="AG34" s="333">
        <v>46503793</v>
      </c>
      <c r="AH34" s="333">
        <v>49414445</v>
      </c>
      <c r="AI34" s="333">
        <v>7238311</v>
      </c>
      <c r="AJ34" s="333">
        <v>16361588</v>
      </c>
      <c r="AK34" s="333">
        <v>17398958</v>
      </c>
      <c r="AL34" s="333">
        <v>19969287</v>
      </c>
      <c r="AM34" s="353"/>
      <c r="AN34" s="353"/>
      <c r="AO34" s="803">
        <v>138743207</v>
      </c>
      <c r="AP34" s="803">
        <v>122469697</v>
      </c>
      <c r="AQ34" s="333">
        <v>3465590</v>
      </c>
      <c r="AR34" s="333">
        <v>3681734</v>
      </c>
      <c r="AS34" s="351">
        <v>7682480</v>
      </c>
      <c r="AT34" s="351">
        <v>6948336</v>
      </c>
      <c r="AU34" s="333">
        <v>17780532</v>
      </c>
      <c r="AV34" s="333">
        <v>16601010</v>
      </c>
      <c r="AW34" s="341">
        <v>1825469717</v>
      </c>
      <c r="AX34" s="333">
        <v>1658730586</v>
      </c>
    </row>
    <row r="35" spans="1:50" ht="16.5">
      <c r="A35" s="275" t="s">
        <v>169</v>
      </c>
      <c r="B35" s="339"/>
      <c r="C35" s="331">
        <v>51415</v>
      </c>
      <c r="D35" s="798">
        <v>26474</v>
      </c>
      <c r="E35" s="331">
        <v>532</v>
      </c>
      <c r="F35" s="560">
        <v>799</v>
      </c>
      <c r="G35" s="341"/>
      <c r="H35" s="333">
        <v>9302</v>
      </c>
      <c r="I35" s="333">
        <v>886615</v>
      </c>
      <c r="J35" s="333">
        <v>744564</v>
      </c>
      <c r="K35" s="333"/>
      <c r="L35" s="333"/>
      <c r="M35" s="344">
        <v>28429</v>
      </c>
      <c r="N35" s="344">
        <v>10944</v>
      </c>
      <c r="O35" s="333">
        <v>176</v>
      </c>
      <c r="P35" s="333">
        <v>103</v>
      </c>
      <c r="Q35" s="347">
        <v>113</v>
      </c>
      <c r="R35" s="347">
        <v>235</v>
      </c>
      <c r="S35" s="333">
        <v>17178</v>
      </c>
      <c r="T35" s="333">
        <v>6335</v>
      </c>
      <c r="U35" s="333">
        <v>11521</v>
      </c>
      <c r="V35" s="333">
        <v>11611</v>
      </c>
      <c r="W35" s="333">
        <f>846637+3694856</f>
        <v>4541493</v>
      </c>
      <c r="X35" s="333">
        <f>383080+5669738</f>
        <v>6052818</v>
      </c>
      <c r="Y35" s="333">
        <v>775753</v>
      </c>
      <c r="Z35" s="333">
        <v>524593</v>
      </c>
      <c r="AA35" s="351">
        <v>575</v>
      </c>
      <c r="AB35" s="351">
        <v>98</v>
      </c>
      <c r="AC35" s="333"/>
      <c r="AD35" s="333"/>
      <c r="AE35" s="333">
        <v>331111</v>
      </c>
      <c r="AF35" s="333">
        <v>179628</v>
      </c>
      <c r="AG35" s="333">
        <v>20113</v>
      </c>
      <c r="AH35" s="333">
        <v>11983</v>
      </c>
      <c r="AI35" s="333">
        <v>6594</v>
      </c>
      <c r="AJ35" s="333">
        <v>22426</v>
      </c>
      <c r="AK35" s="333">
        <v>2158</v>
      </c>
      <c r="AL35" s="333">
        <v>4724</v>
      </c>
      <c r="AM35" s="353"/>
      <c r="AN35" s="353"/>
      <c r="AO35" s="803">
        <v>486656</v>
      </c>
      <c r="AP35" s="803">
        <v>438462</v>
      </c>
      <c r="AQ35" s="333">
        <v>2388</v>
      </c>
      <c r="AR35" s="333">
        <v>2586</v>
      </c>
      <c r="AS35" s="351">
        <v>112</v>
      </c>
      <c r="AT35" s="351">
        <v>48</v>
      </c>
      <c r="AU35" s="333"/>
      <c r="AV35" s="333"/>
      <c r="AW35" s="341">
        <v>1817103</v>
      </c>
      <c r="AX35" s="333">
        <v>14575372</v>
      </c>
    </row>
    <row r="36" spans="1:50" ht="17.25">
      <c r="A36" s="275" t="s">
        <v>170</v>
      </c>
      <c r="B36" s="339"/>
      <c r="C36" s="332"/>
      <c r="D36" s="799"/>
      <c r="E36" s="332"/>
      <c r="F36" s="561"/>
      <c r="G36" s="342"/>
      <c r="H36" s="334"/>
      <c r="I36" s="334"/>
      <c r="J36" s="334"/>
      <c r="K36" s="334"/>
      <c r="L36" s="334"/>
      <c r="M36" s="345"/>
      <c r="N36" s="345"/>
      <c r="O36" s="334"/>
      <c r="P36" s="334"/>
      <c r="Q36" s="348"/>
      <c r="R36" s="348"/>
      <c r="S36" s="334"/>
      <c r="T36" s="334"/>
      <c r="U36" s="334"/>
      <c r="V36" s="334"/>
      <c r="W36" s="334"/>
      <c r="X36" s="334"/>
      <c r="Y36" s="334"/>
      <c r="Z36" s="334"/>
      <c r="AA36" s="350"/>
      <c r="AB36" s="350"/>
      <c r="AC36" s="334"/>
      <c r="AD36" s="334"/>
      <c r="AE36" s="352"/>
      <c r="AF36" s="352"/>
      <c r="AG36" s="334"/>
      <c r="AH36" s="334"/>
      <c r="AI36" s="334"/>
      <c r="AJ36" s="334"/>
      <c r="AK36" s="334"/>
      <c r="AL36" s="334"/>
      <c r="AM36" s="353"/>
      <c r="AN36" s="353"/>
      <c r="AO36" s="804"/>
      <c r="AP36" s="804"/>
      <c r="AQ36" s="333"/>
      <c r="AR36" s="333"/>
      <c r="AS36" s="351"/>
      <c r="AT36" s="351"/>
      <c r="AU36" s="334"/>
      <c r="AV36" s="334"/>
      <c r="AW36" s="342"/>
      <c r="AX36" s="334"/>
    </row>
    <row r="37" spans="1:50" ht="16.5">
      <c r="A37" s="275" t="s">
        <v>171</v>
      </c>
      <c r="B37" s="339"/>
      <c r="C37" s="331">
        <v>39081430</v>
      </c>
      <c r="D37" s="798">
        <v>18656618</v>
      </c>
      <c r="E37" s="331">
        <f>1678332+2469506</f>
        <v>4147838</v>
      </c>
      <c r="F37" s="560">
        <f>1748455+73355</f>
        <v>1821810</v>
      </c>
      <c r="G37" s="341"/>
      <c r="H37" s="333">
        <v>1383070</v>
      </c>
      <c r="I37" s="333">
        <v>33910359</v>
      </c>
      <c r="J37" s="333">
        <v>21477672</v>
      </c>
      <c r="K37" s="333">
        <v>14332182</v>
      </c>
      <c r="L37" s="333">
        <v>9722217</v>
      </c>
      <c r="M37" s="344">
        <v>51781285</v>
      </c>
      <c r="N37" s="344">
        <v>15432275</v>
      </c>
      <c r="O37" s="333">
        <v>4295833</v>
      </c>
      <c r="P37" s="333">
        <v>4500375</v>
      </c>
      <c r="Q37" s="347">
        <v>8895227</v>
      </c>
      <c r="R37" s="347">
        <v>4881383</v>
      </c>
      <c r="S37" s="333">
        <v>17188200</v>
      </c>
      <c r="T37" s="333">
        <v>13690130</v>
      </c>
      <c r="U37" s="333">
        <f>1002168+2839913</f>
        <v>3842081</v>
      </c>
      <c r="V37" s="333">
        <f>-77262+3535636</f>
        <v>3458374</v>
      </c>
      <c r="W37" s="333">
        <v>149008384</v>
      </c>
      <c r="X37" s="333">
        <v>91924480</v>
      </c>
      <c r="Y37" s="333">
        <v>94620012</v>
      </c>
      <c r="Z37" s="333">
        <v>100753333</v>
      </c>
      <c r="AA37" s="350">
        <v>14932217</v>
      </c>
      <c r="AB37" s="350">
        <v>9356944</v>
      </c>
      <c r="AC37" s="333">
        <v>-1144296</v>
      </c>
      <c r="AD37" s="333">
        <v>-3809324</v>
      </c>
      <c r="AE37" s="333">
        <v>24152120</v>
      </c>
      <c r="AF37" s="333">
        <v>27832078</v>
      </c>
      <c r="AG37" s="333">
        <v>131068072</v>
      </c>
      <c r="AH37" s="333">
        <v>63622702</v>
      </c>
      <c r="AI37" s="333">
        <f>14101662+24897940</f>
        <v>38999602</v>
      </c>
      <c r="AJ37" s="333">
        <f>-2296729+22370217</f>
        <v>20073488</v>
      </c>
      <c r="AK37" s="333">
        <f>14670817+15605487</f>
        <v>30276304</v>
      </c>
      <c r="AL37" s="333">
        <f>-5060847+15511633</f>
        <v>10450786</v>
      </c>
      <c r="AM37" s="353"/>
      <c r="AN37" s="353"/>
      <c r="AO37" s="803">
        <v>116731412</v>
      </c>
      <c r="AP37" s="803">
        <v>81397737</v>
      </c>
      <c r="AQ37" s="333">
        <v>8247228</v>
      </c>
      <c r="AR37" s="333">
        <v>4870662</v>
      </c>
      <c r="AS37" s="351">
        <v>12328559</v>
      </c>
      <c r="AT37" s="351">
        <v>10260394</v>
      </c>
      <c r="AU37" s="333">
        <f>52514117+5365411</f>
        <v>57879528</v>
      </c>
      <c r="AV37" s="333">
        <f>37928452+8007147</f>
        <v>45935599</v>
      </c>
      <c r="AW37" s="341">
        <v>2558325817</v>
      </c>
      <c r="AX37" s="333">
        <v>2397536827</v>
      </c>
    </row>
    <row r="38" spans="1:50" ht="16.5">
      <c r="A38" s="275" t="s">
        <v>172</v>
      </c>
      <c r="B38" s="339"/>
      <c r="C38" s="331">
        <v>-842486</v>
      </c>
      <c r="D38" s="798">
        <v>-737401</v>
      </c>
      <c r="E38" s="331">
        <v>-178347</v>
      </c>
      <c r="F38" s="560">
        <v>-283318</v>
      </c>
      <c r="G38" s="341"/>
      <c r="H38" s="333">
        <v>-2928</v>
      </c>
      <c r="I38" s="333">
        <v>-207354</v>
      </c>
      <c r="J38" s="333">
        <v>-211494</v>
      </c>
      <c r="K38" s="333">
        <v>-30293</v>
      </c>
      <c r="L38" s="333">
        <v>12862</v>
      </c>
      <c r="M38" s="344">
        <v>-903561</v>
      </c>
      <c r="N38" s="344">
        <v>-413997</v>
      </c>
      <c r="O38" s="333">
        <v>209780</v>
      </c>
      <c r="P38" s="333">
        <v>78311</v>
      </c>
      <c r="Q38" s="347">
        <v>-158867</v>
      </c>
      <c r="R38" s="347">
        <v>-165964</v>
      </c>
      <c r="S38" s="333">
        <v>-145335</v>
      </c>
      <c r="T38" s="333">
        <v>-125019</v>
      </c>
      <c r="U38" s="333">
        <v>115121</v>
      </c>
      <c r="V38" s="333">
        <v>24018</v>
      </c>
      <c r="W38" s="333">
        <v>-8124327</v>
      </c>
      <c r="X38" s="333">
        <v>-8694973</v>
      </c>
      <c r="Y38" s="333">
        <v>-16342423</v>
      </c>
      <c r="Z38" s="333">
        <v>-41544224</v>
      </c>
      <c r="AA38" s="350">
        <v>13526</v>
      </c>
      <c r="AB38" s="350">
        <v>3485</v>
      </c>
      <c r="AC38" s="333"/>
      <c r="AD38" s="333"/>
      <c r="AE38" s="333">
        <v>-589986</v>
      </c>
      <c r="AF38" s="333">
        <v>-199770</v>
      </c>
      <c r="AG38" s="333">
        <v>-1036112</v>
      </c>
      <c r="AH38" s="333">
        <v>-7949939</v>
      </c>
      <c r="AI38" s="333">
        <v>-2122668</v>
      </c>
      <c r="AJ38" s="333">
        <v>-1041664</v>
      </c>
      <c r="AK38" s="333"/>
      <c r="AL38" s="333"/>
      <c r="AM38" s="353"/>
      <c r="AN38" s="353"/>
      <c r="AO38" s="803">
        <v>-940093</v>
      </c>
      <c r="AP38" s="803">
        <v>-507188</v>
      </c>
      <c r="AQ38" s="333"/>
      <c r="AR38" s="333"/>
      <c r="AS38" s="351">
        <v>-385915</v>
      </c>
      <c r="AT38" s="351">
        <v>-143693</v>
      </c>
      <c r="AU38" s="333">
        <v>-3176322</v>
      </c>
      <c r="AV38" s="333">
        <v>-5159693</v>
      </c>
      <c r="AW38" s="341"/>
      <c r="AX38" s="333"/>
    </row>
    <row r="39" spans="1:50" ht="16.5">
      <c r="A39" s="275" t="s">
        <v>173</v>
      </c>
      <c r="B39" s="339"/>
      <c r="C39" s="331"/>
      <c r="D39" s="798"/>
      <c r="E39" s="331"/>
      <c r="F39" s="560"/>
      <c r="G39" s="341"/>
      <c r="H39" s="333"/>
      <c r="I39" s="333"/>
      <c r="J39" s="333"/>
      <c r="K39" s="333"/>
      <c r="L39" s="333"/>
      <c r="M39" s="344"/>
      <c r="N39" s="344"/>
      <c r="O39" s="333"/>
      <c r="P39" s="333"/>
      <c r="Q39" s="347"/>
      <c r="R39" s="347"/>
      <c r="S39" s="333"/>
      <c r="T39" s="333"/>
      <c r="U39" s="333"/>
      <c r="V39" s="333"/>
      <c r="W39" s="333"/>
      <c r="X39" s="333"/>
      <c r="Y39" s="333"/>
      <c r="Z39" s="333"/>
      <c r="AA39" s="350"/>
      <c r="AB39" s="350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53"/>
      <c r="AN39" s="353"/>
      <c r="AO39" s="804"/>
      <c r="AP39" s="804"/>
      <c r="AQ39" s="333"/>
      <c r="AR39" s="333"/>
      <c r="AS39" s="351"/>
      <c r="AT39" s="351"/>
      <c r="AU39" s="333"/>
      <c r="AV39" s="333"/>
      <c r="AW39" s="341"/>
      <c r="AX39" s="333"/>
    </row>
    <row r="40" spans="1:50" ht="16.5">
      <c r="A40" s="275" t="s">
        <v>174</v>
      </c>
      <c r="B40" s="339"/>
      <c r="C40" s="331">
        <v>46917644</v>
      </c>
      <c r="D40" s="798">
        <f>1124305+1048662</f>
        <v>2172967</v>
      </c>
      <c r="E40" s="331"/>
      <c r="F40" s="560"/>
      <c r="G40" s="341"/>
      <c r="H40" s="333"/>
      <c r="I40" s="333">
        <v>74541304</v>
      </c>
      <c r="J40" s="333">
        <v>3793765</v>
      </c>
      <c r="K40" s="333"/>
      <c r="L40" s="333"/>
      <c r="M40" s="344"/>
      <c r="N40" s="344"/>
      <c r="O40" s="333"/>
      <c r="P40" s="333"/>
      <c r="Q40" s="347"/>
      <c r="R40" s="347"/>
      <c r="S40" s="333"/>
      <c r="T40" s="333"/>
      <c r="U40" s="333"/>
      <c r="V40" s="333"/>
      <c r="W40" s="333">
        <v>186443563</v>
      </c>
      <c r="X40" s="333">
        <v>8307466</v>
      </c>
      <c r="Y40" s="333">
        <v>354537339</v>
      </c>
      <c r="Z40" s="333">
        <v>34998208</v>
      </c>
      <c r="AA40" s="350"/>
      <c r="AB40" s="350"/>
      <c r="AC40" s="333">
        <v>14184566</v>
      </c>
      <c r="AD40" s="333">
        <v>3055567</v>
      </c>
      <c r="AE40" s="333"/>
      <c r="AF40" s="333"/>
      <c r="AG40" s="333"/>
      <c r="AH40" s="333"/>
      <c r="AI40" s="333"/>
      <c r="AJ40" s="333"/>
      <c r="AK40" s="333"/>
      <c r="AL40" s="333"/>
      <c r="AM40" s="353"/>
      <c r="AN40" s="353"/>
      <c r="AO40" s="803">
        <v>290493380</v>
      </c>
      <c r="AP40" s="803">
        <v>114154693</v>
      </c>
      <c r="AQ40" s="333"/>
      <c r="AR40" s="333"/>
      <c r="AS40" s="351"/>
      <c r="AT40" s="351"/>
      <c r="AU40" s="333"/>
      <c r="AV40" s="333"/>
      <c r="AW40" s="341"/>
      <c r="AX40" s="333"/>
    </row>
    <row r="41" spans="1:50" ht="17.25">
      <c r="A41" s="275" t="s">
        <v>175</v>
      </c>
      <c r="B41" s="339"/>
      <c r="C41" s="332">
        <v>2387908</v>
      </c>
      <c r="D41" s="799"/>
      <c r="E41" s="332"/>
      <c r="F41" s="561"/>
      <c r="G41" s="342"/>
      <c r="H41" s="334">
        <v>-101146</v>
      </c>
      <c r="I41" s="334">
        <v>5559723</v>
      </c>
      <c r="J41" s="334">
        <v>2504996</v>
      </c>
      <c r="K41" s="334"/>
      <c r="L41" s="334"/>
      <c r="M41" s="345"/>
      <c r="N41" s="345"/>
      <c r="O41" s="334"/>
      <c r="P41" s="334"/>
      <c r="Q41" s="348"/>
      <c r="R41" s="348"/>
      <c r="S41" s="334"/>
      <c r="T41" s="334"/>
      <c r="U41" s="334"/>
      <c r="V41" s="334"/>
      <c r="W41" s="334">
        <v>4741881</v>
      </c>
      <c r="X41" s="334">
        <v>6035338</v>
      </c>
      <c r="Y41" s="334">
        <v>19060004</v>
      </c>
      <c r="Z41" s="334">
        <v>17558067</v>
      </c>
      <c r="AA41" s="350"/>
      <c r="AB41" s="350"/>
      <c r="AC41" s="334">
        <v>870580</v>
      </c>
      <c r="AD41" s="334">
        <v>600523</v>
      </c>
      <c r="AE41" s="352"/>
      <c r="AF41" s="352"/>
      <c r="AG41" s="334">
        <v>9115287</v>
      </c>
      <c r="AH41" s="334">
        <v>4057825</v>
      </c>
      <c r="AI41" s="334"/>
      <c r="AJ41" s="334"/>
      <c r="AK41" s="334"/>
      <c r="AL41" s="334"/>
      <c r="AM41" s="353"/>
      <c r="AN41" s="353"/>
      <c r="AO41" s="803">
        <v>18563986</v>
      </c>
      <c r="AP41" s="803">
        <v>15056503</v>
      </c>
      <c r="AQ41" s="333"/>
      <c r="AR41" s="333"/>
      <c r="AS41" s="333">
        <v>162011</v>
      </c>
      <c r="AT41" s="333">
        <v>-716776</v>
      </c>
      <c r="AU41" s="334"/>
      <c r="AV41" s="334"/>
      <c r="AW41" s="342">
        <v>9120</v>
      </c>
      <c r="AX41" s="334">
        <v>29990</v>
      </c>
    </row>
    <row r="42" spans="1:50" ht="17.25">
      <c r="A42" s="275" t="s">
        <v>204</v>
      </c>
      <c r="B42" s="339"/>
      <c r="C42" s="332"/>
      <c r="D42" s="799"/>
      <c r="E42" s="332"/>
      <c r="F42" s="561"/>
      <c r="G42" s="342"/>
      <c r="H42" s="334"/>
      <c r="I42" s="334"/>
      <c r="J42" s="334"/>
      <c r="K42" s="334"/>
      <c r="L42" s="334"/>
      <c r="M42" s="345"/>
      <c r="N42" s="345"/>
      <c r="O42" s="334"/>
      <c r="P42" s="334"/>
      <c r="Q42" s="348"/>
      <c r="R42" s="348"/>
      <c r="S42" s="334"/>
      <c r="T42" s="334"/>
      <c r="U42" s="334"/>
      <c r="V42" s="334"/>
      <c r="W42" s="334"/>
      <c r="X42" s="334"/>
      <c r="Y42" s="334"/>
      <c r="Z42" s="334"/>
      <c r="AA42" s="350"/>
      <c r="AB42" s="350"/>
      <c r="AC42" s="334"/>
      <c r="AD42" s="334"/>
      <c r="AE42" s="352">
        <v>45601230</v>
      </c>
      <c r="AF42" s="352">
        <v>13317945</v>
      </c>
      <c r="AG42" s="334"/>
      <c r="AH42" s="334"/>
      <c r="AI42" s="334"/>
      <c r="AJ42" s="334"/>
      <c r="AK42" s="334"/>
      <c r="AL42" s="334"/>
      <c r="AM42" s="353"/>
      <c r="AN42" s="353"/>
      <c r="AO42" s="803"/>
      <c r="AP42" s="803"/>
      <c r="AQ42" s="333"/>
      <c r="AR42" s="333"/>
      <c r="AS42" s="333">
        <v>5209302</v>
      </c>
      <c r="AT42" s="333">
        <v>-722367</v>
      </c>
      <c r="AU42" s="334"/>
      <c r="AV42" s="334"/>
      <c r="AW42" s="342">
        <v>31239874</v>
      </c>
      <c r="AX42" s="334">
        <v>-37602742</v>
      </c>
    </row>
    <row r="43" spans="1:50" ht="17.25">
      <c r="A43" s="275" t="s">
        <v>206</v>
      </c>
      <c r="B43" s="339"/>
      <c r="C43" s="332"/>
      <c r="D43" s="799"/>
      <c r="E43" s="332"/>
      <c r="F43" s="561"/>
      <c r="G43" s="342"/>
      <c r="H43" s="334"/>
      <c r="I43" s="334">
        <v>20929</v>
      </c>
      <c r="J43" s="334">
        <v>-246630</v>
      </c>
      <c r="K43" s="334"/>
      <c r="L43" s="334"/>
      <c r="M43" s="345"/>
      <c r="N43" s="345"/>
      <c r="O43" s="334"/>
      <c r="P43" s="334"/>
      <c r="Q43" s="348"/>
      <c r="R43" s="348"/>
      <c r="S43" s="334"/>
      <c r="T43" s="334"/>
      <c r="U43" s="334"/>
      <c r="V43" s="334"/>
      <c r="W43" s="334"/>
      <c r="X43" s="334"/>
      <c r="Y43" s="334"/>
      <c r="Z43" s="334"/>
      <c r="AA43" s="350"/>
      <c r="AB43" s="350"/>
      <c r="AC43" s="334"/>
      <c r="AD43" s="334"/>
      <c r="AE43" s="352"/>
      <c r="AF43" s="352"/>
      <c r="AG43" s="334"/>
      <c r="AH43" s="334"/>
      <c r="AI43" s="334"/>
      <c r="AJ43" s="334"/>
      <c r="AK43" s="334"/>
      <c r="AL43" s="334"/>
      <c r="AM43" s="353"/>
      <c r="AN43" s="353"/>
      <c r="AO43" s="803"/>
      <c r="AP43" s="803"/>
      <c r="AQ43" s="333"/>
      <c r="AR43" s="333"/>
      <c r="AS43" s="333"/>
      <c r="AT43" s="333"/>
      <c r="AU43" s="334"/>
      <c r="AV43" s="334"/>
      <c r="AW43" s="342"/>
      <c r="AX43" s="334"/>
    </row>
    <row r="44" spans="1:50" ht="17.25">
      <c r="A44" s="275" t="s">
        <v>220</v>
      </c>
      <c r="B44" s="339"/>
      <c r="C44" s="332"/>
      <c r="D44" s="799"/>
      <c r="E44" s="332"/>
      <c r="F44" s="561"/>
      <c r="G44" s="342"/>
      <c r="H44" s="334"/>
      <c r="I44" s="334"/>
      <c r="J44" s="334"/>
      <c r="K44" s="334"/>
      <c r="L44" s="334"/>
      <c r="M44" s="345"/>
      <c r="N44" s="345"/>
      <c r="O44" s="334"/>
      <c r="P44" s="334"/>
      <c r="Q44" s="348"/>
      <c r="R44" s="348"/>
      <c r="S44" s="334"/>
      <c r="T44" s="334"/>
      <c r="U44" s="334"/>
      <c r="V44" s="334"/>
      <c r="W44" s="334"/>
      <c r="X44" s="334"/>
      <c r="Y44" s="334"/>
      <c r="Z44" s="334"/>
      <c r="AA44" s="350"/>
      <c r="AB44" s="350"/>
      <c r="AC44" s="334"/>
      <c r="AD44" s="334"/>
      <c r="AE44" s="352"/>
      <c r="AF44" s="352"/>
      <c r="AG44" s="334"/>
      <c r="AH44" s="334"/>
      <c r="AI44" s="334"/>
      <c r="AJ44" s="334"/>
      <c r="AK44" s="334"/>
      <c r="AL44" s="334"/>
      <c r="AM44" s="353"/>
      <c r="AN44" s="353"/>
      <c r="AO44" s="803"/>
      <c r="AP44" s="803"/>
      <c r="AQ44" s="333"/>
      <c r="AR44" s="333"/>
      <c r="AS44" s="333"/>
      <c r="AT44" s="333"/>
      <c r="AU44" s="334"/>
      <c r="AV44" s="334"/>
      <c r="AW44" s="342"/>
      <c r="AX44" s="334"/>
    </row>
    <row r="45" spans="1:50" s="623" customFormat="1" ht="18">
      <c r="A45" s="613" t="s">
        <v>176</v>
      </c>
      <c r="B45" s="614"/>
      <c r="C45" s="615">
        <v>117726361</v>
      </c>
      <c r="D45" s="800">
        <v>61823960</v>
      </c>
      <c r="E45" s="615">
        <v>5788977</v>
      </c>
      <c r="F45" s="616">
        <v>3466321</v>
      </c>
      <c r="G45" s="618"/>
      <c r="H45" s="617">
        <v>8903373</v>
      </c>
      <c r="I45" s="617">
        <v>152860244</v>
      </c>
      <c r="J45" s="617">
        <v>72441259</v>
      </c>
      <c r="K45" s="617">
        <v>17945362</v>
      </c>
      <c r="L45" s="617">
        <v>12532697</v>
      </c>
      <c r="M45" s="619">
        <v>62909834</v>
      </c>
      <c r="N45" s="619">
        <v>28197807</v>
      </c>
      <c r="O45" s="617">
        <v>6945172</v>
      </c>
      <c r="P45" s="617">
        <v>7439950</v>
      </c>
      <c r="Q45" s="620">
        <v>9713628</v>
      </c>
      <c r="R45" s="620">
        <v>5286110</v>
      </c>
      <c r="S45" s="617">
        <v>27926893</v>
      </c>
      <c r="T45" s="617">
        <v>23091148</v>
      </c>
      <c r="U45" s="617">
        <v>7544458</v>
      </c>
      <c r="V45" s="617">
        <v>6980828</v>
      </c>
      <c r="W45" s="617">
        <v>469441561</v>
      </c>
      <c r="X45" s="617">
        <v>234517966</v>
      </c>
      <c r="Y45" s="617">
        <v>595107604</v>
      </c>
      <c r="Z45" s="617">
        <v>243492209</v>
      </c>
      <c r="AA45" s="621">
        <v>21013584</v>
      </c>
      <c r="AB45" s="621">
        <v>13282135</v>
      </c>
      <c r="AC45" s="617">
        <v>41218881</v>
      </c>
      <c r="AD45" s="617">
        <v>24730549</v>
      </c>
      <c r="AE45" s="617">
        <v>95662406</v>
      </c>
      <c r="AF45" s="617">
        <v>65643828</v>
      </c>
      <c r="AG45" s="617">
        <v>185671153</v>
      </c>
      <c r="AH45" s="617">
        <v>1091577016</v>
      </c>
      <c r="AI45" s="617">
        <v>54656630</v>
      </c>
      <c r="AJ45" s="617">
        <v>35415838</v>
      </c>
      <c r="AK45" s="617">
        <v>47677420</v>
      </c>
      <c r="AL45" s="617">
        <v>30424797</v>
      </c>
      <c r="AM45" s="622"/>
      <c r="AN45" s="622"/>
      <c r="AO45" s="805">
        <v>564078548</v>
      </c>
      <c r="AP45" s="805">
        <v>333009905</v>
      </c>
      <c r="AQ45" s="617">
        <v>11715206</v>
      </c>
      <c r="AR45" s="617">
        <v>8554983</v>
      </c>
      <c r="AS45" s="621">
        <v>24996549</v>
      </c>
      <c r="AT45" s="621">
        <v>15625942</v>
      </c>
      <c r="AU45" s="617">
        <v>120772440</v>
      </c>
      <c r="AV45" s="617">
        <v>57376916</v>
      </c>
      <c r="AW45" s="618">
        <v>497071830</v>
      </c>
      <c r="AX45" s="617">
        <v>4033270033</v>
      </c>
    </row>
    <row r="46" spans="1:50" s="623" customFormat="1" ht="18">
      <c r="A46" s="613" t="s">
        <v>177</v>
      </c>
      <c r="B46" s="614"/>
      <c r="C46" s="615">
        <v>1096112</v>
      </c>
      <c r="D46" s="800">
        <v>1859781</v>
      </c>
      <c r="E46" s="615">
        <v>264669</v>
      </c>
      <c r="F46" s="616">
        <v>127944</v>
      </c>
      <c r="G46" s="618"/>
      <c r="H46" s="617">
        <v>193901</v>
      </c>
      <c r="I46" s="617">
        <v>4440636</v>
      </c>
      <c r="J46" s="617">
        <v>870664</v>
      </c>
      <c r="K46" s="617">
        <v>-782818</v>
      </c>
      <c r="L46" s="617">
        <v>-876327</v>
      </c>
      <c r="M46" s="619">
        <v>1652333</v>
      </c>
      <c r="N46" s="619">
        <v>1326679</v>
      </c>
      <c r="O46" s="617">
        <v>1531049</v>
      </c>
      <c r="P46" s="617">
        <v>1288752</v>
      </c>
      <c r="Q46" s="620">
        <v>48480</v>
      </c>
      <c r="R46" s="620">
        <v>14678</v>
      </c>
      <c r="S46" s="617">
        <v>339248</v>
      </c>
      <c r="T46" s="617">
        <v>213272</v>
      </c>
      <c r="U46" s="617"/>
      <c r="V46" s="617">
        <v>36931</v>
      </c>
      <c r="W46" s="617">
        <v>6644540</v>
      </c>
      <c r="X46" s="617">
        <v>8353816</v>
      </c>
      <c r="Y46" s="617">
        <v>16570182</v>
      </c>
      <c r="Z46" s="617">
        <v>13600911</v>
      </c>
      <c r="AA46" s="621">
        <v>1110685</v>
      </c>
      <c r="AB46" s="621">
        <v>1005016</v>
      </c>
      <c r="AC46" s="617">
        <v>898231</v>
      </c>
      <c r="AD46" s="617">
        <v>412115</v>
      </c>
      <c r="AE46" s="617">
        <v>4325755</v>
      </c>
      <c r="AF46" s="617">
        <v>4321822</v>
      </c>
      <c r="AG46" s="617">
        <v>-89829</v>
      </c>
      <c r="AH46" s="617">
        <v>4995306</v>
      </c>
      <c r="AI46" s="617">
        <v>2025034</v>
      </c>
      <c r="AJ46" s="617">
        <v>1768891</v>
      </c>
      <c r="AK46" s="617">
        <v>367521</v>
      </c>
      <c r="AL46" s="617">
        <v>647916</v>
      </c>
      <c r="AM46" s="622"/>
      <c r="AN46" s="622"/>
      <c r="AO46" s="805">
        <v>12996933</v>
      </c>
      <c r="AP46" s="805">
        <v>12351343</v>
      </c>
      <c r="AQ46" s="617">
        <v>441721</v>
      </c>
      <c r="AR46" s="617">
        <v>239165</v>
      </c>
      <c r="AS46" s="621">
        <v>444638</v>
      </c>
      <c r="AT46" s="621">
        <v>632737</v>
      </c>
      <c r="AU46" s="617">
        <v>3940013</v>
      </c>
      <c r="AV46" s="617">
        <v>-317043</v>
      </c>
      <c r="AW46" s="618"/>
      <c r="AX46" s="617"/>
    </row>
    <row r="47" spans="1:50" ht="17.25">
      <c r="A47" s="335" t="s">
        <v>214</v>
      </c>
      <c r="B47" s="339"/>
      <c r="C47" s="332"/>
      <c r="D47" s="799"/>
      <c r="E47" s="332"/>
      <c r="F47" s="561"/>
      <c r="G47" s="341"/>
      <c r="H47" s="333"/>
      <c r="I47" s="333">
        <v>61880</v>
      </c>
      <c r="J47" s="333">
        <v>-240617</v>
      </c>
      <c r="K47" s="333"/>
      <c r="L47" s="333"/>
      <c r="M47" s="344"/>
      <c r="N47" s="344"/>
      <c r="O47" s="333"/>
      <c r="P47" s="333"/>
      <c r="Q47" s="348"/>
      <c r="R47" s="348"/>
      <c r="S47" s="333"/>
      <c r="T47" s="333"/>
      <c r="U47" s="333"/>
      <c r="V47" s="333"/>
      <c r="W47" s="333"/>
      <c r="X47" s="333"/>
      <c r="Y47" s="333">
        <v>-821761</v>
      </c>
      <c r="Z47" s="333">
        <f>-741768-446</f>
        <v>-742214</v>
      </c>
      <c r="AA47" s="351">
        <v>62106</v>
      </c>
      <c r="AB47" s="351">
        <v>37796</v>
      </c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53"/>
      <c r="AN47" s="353"/>
      <c r="AO47" s="807"/>
      <c r="AP47" s="807"/>
      <c r="AQ47" s="333"/>
      <c r="AR47" s="333"/>
      <c r="AS47" s="351"/>
      <c r="AT47" s="351"/>
      <c r="AU47" s="333"/>
      <c r="AV47" s="333"/>
      <c r="AW47" s="341"/>
      <c r="AX47" s="333"/>
    </row>
    <row r="48" spans="1:50" ht="16.5">
      <c r="A48" s="335" t="s">
        <v>178</v>
      </c>
      <c r="B48" s="339"/>
      <c r="C48" s="331"/>
      <c r="D48" s="798"/>
      <c r="E48" s="331"/>
      <c r="F48" s="560"/>
      <c r="G48" s="341"/>
      <c r="H48" s="333"/>
      <c r="I48" s="333"/>
      <c r="J48" s="333"/>
      <c r="K48" s="333"/>
      <c r="L48" s="333"/>
      <c r="M48" s="344"/>
      <c r="N48" s="344"/>
      <c r="O48" s="333"/>
      <c r="P48" s="333"/>
      <c r="Q48" s="347"/>
      <c r="R48" s="347"/>
      <c r="S48" s="333"/>
      <c r="T48" s="333"/>
      <c r="U48" s="333"/>
      <c r="V48" s="333"/>
      <c r="W48" s="333"/>
      <c r="X48" s="333"/>
      <c r="Y48" s="333"/>
      <c r="Z48" s="333"/>
      <c r="AA48" s="351"/>
      <c r="AB48" s="351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53"/>
      <c r="AN48" s="353"/>
      <c r="AO48" s="804"/>
      <c r="AP48" s="804"/>
      <c r="AQ48" s="333"/>
      <c r="AR48" s="333"/>
      <c r="AS48" s="351"/>
      <c r="AT48" s="351"/>
      <c r="AU48" s="333"/>
      <c r="AV48" s="333"/>
      <c r="AW48" s="341"/>
      <c r="AX48" s="333"/>
    </row>
    <row r="49" spans="1:50" ht="16.5">
      <c r="A49" s="335" t="s">
        <v>209</v>
      </c>
      <c r="B49" s="339"/>
      <c r="C49" s="331"/>
      <c r="D49" s="798"/>
      <c r="E49" s="331"/>
      <c r="F49" s="560"/>
      <c r="G49" s="341"/>
      <c r="H49" s="333"/>
      <c r="I49" s="333"/>
      <c r="J49" s="333"/>
      <c r="K49" s="333"/>
      <c r="L49" s="333"/>
      <c r="M49" s="344"/>
      <c r="N49" s="344"/>
      <c r="O49" s="333"/>
      <c r="P49" s="333"/>
      <c r="Q49" s="347"/>
      <c r="R49" s="347"/>
      <c r="S49" s="333"/>
      <c r="T49" s="333"/>
      <c r="U49" s="333"/>
      <c r="V49" s="333"/>
      <c r="W49" s="333"/>
      <c r="X49" s="333"/>
      <c r="Y49" s="333"/>
      <c r="Z49" s="333"/>
      <c r="AA49" s="351"/>
      <c r="AB49" s="351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53"/>
      <c r="AN49" s="353"/>
      <c r="AO49" s="804"/>
      <c r="AP49" s="804"/>
      <c r="AQ49" s="333"/>
      <c r="AR49" s="333"/>
      <c r="AS49" s="351"/>
      <c r="AT49" s="351"/>
      <c r="AU49" s="333"/>
      <c r="AV49" s="333"/>
      <c r="AW49" s="341"/>
      <c r="AX49" s="333"/>
    </row>
    <row r="50" spans="1:50" ht="16.5">
      <c r="A50" s="275" t="s">
        <v>179</v>
      </c>
      <c r="B50" s="339"/>
      <c r="C50" s="331"/>
      <c r="D50" s="798"/>
      <c r="E50" s="331"/>
      <c r="F50" s="560"/>
      <c r="G50" s="341"/>
      <c r="H50" s="333"/>
      <c r="I50" s="333"/>
      <c r="J50" s="333"/>
      <c r="K50" s="333"/>
      <c r="L50" s="333"/>
      <c r="M50" s="344"/>
      <c r="N50" s="344"/>
      <c r="O50" s="333"/>
      <c r="P50" s="333"/>
      <c r="Q50" s="347"/>
      <c r="R50" s="347"/>
      <c r="S50" s="333"/>
      <c r="T50" s="333"/>
      <c r="U50" s="333"/>
      <c r="V50" s="333"/>
      <c r="W50" s="333"/>
      <c r="X50" s="333"/>
      <c r="Y50" s="333"/>
      <c r="Z50" s="333"/>
      <c r="AA50" s="351"/>
      <c r="AB50" s="351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53"/>
      <c r="AN50" s="353"/>
      <c r="AO50" s="803"/>
      <c r="AP50" s="803">
        <v>15167549</v>
      </c>
      <c r="AQ50" s="333"/>
      <c r="AR50" s="333"/>
      <c r="AS50" s="351"/>
      <c r="AT50" s="351"/>
      <c r="AU50" s="333">
        <f>AU46</f>
        <v>3940013</v>
      </c>
      <c r="AV50" s="333">
        <f>AV46</f>
        <v>-317043</v>
      </c>
      <c r="AW50" s="341"/>
      <c r="AX50" s="333"/>
    </row>
    <row r="51" spans="1:50" ht="17.25">
      <c r="A51" s="335" t="s">
        <v>100</v>
      </c>
      <c r="B51" s="339"/>
      <c r="C51" s="332"/>
      <c r="D51" s="799"/>
      <c r="E51" s="332"/>
      <c r="F51" s="561"/>
      <c r="G51" s="342"/>
      <c r="H51" s="334"/>
      <c r="I51" s="334"/>
      <c r="J51" s="334"/>
      <c r="K51" s="334"/>
      <c r="L51" s="334"/>
      <c r="M51" s="345"/>
      <c r="N51" s="345"/>
      <c r="O51" s="334"/>
      <c r="P51" s="334"/>
      <c r="Q51" s="348"/>
      <c r="R51" s="348"/>
      <c r="S51" s="334"/>
      <c r="T51" s="334"/>
      <c r="U51" s="334"/>
      <c r="V51" s="334"/>
      <c r="W51" s="334"/>
      <c r="X51" s="334"/>
      <c r="Y51" s="334"/>
      <c r="Z51" s="334"/>
      <c r="AA51" s="333"/>
      <c r="AB51" s="333"/>
      <c r="AC51" s="334"/>
      <c r="AD51" s="334"/>
      <c r="AE51" s="352"/>
      <c r="AF51" s="352"/>
      <c r="AG51" s="334"/>
      <c r="AH51" s="334"/>
      <c r="AI51" s="334"/>
      <c r="AJ51" s="334"/>
      <c r="AK51" s="334"/>
      <c r="AL51" s="334"/>
      <c r="AM51" s="353"/>
      <c r="AN51" s="353"/>
      <c r="AO51" s="804"/>
      <c r="AP51" s="804"/>
      <c r="AQ51" s="333"/>
      <c r="AR51" s="333"/>
      <c r="AS51" s="333"/>
      <c r="AT51" s="333"/>
      <c r="AU51" s="334"/>
      <c r="AV51" s="334"/>
      <c r="AW51" s="342"/>
      <c r="AX51" s="334"/>
    </row>
    <row r="52" spans="1:50" ht="16.5">
      <c r="A52" s="275" t="s">
        <v>180</v>
      </c>
      <c r="B52" s="339"/>
      <c r="C52" s="331">
        <v>1211169</v>
      </c>
      <c r="D52" s="798">
        <v>1831449</v>
      </c>
      <c r="E52" s="331"/>
      <c r="F52" s="560"/>
      <c r="G52" s="341"/>
      <c r="H52" s="333"/>
      <c r="I52" s="333">
        <v>2729005</v>
      </c>
      <c r="J52" s="333">
        <v>378516</v>
      </c>
      <c r="K52" s="333">
        <v>-1399524</v>
      </c>
      <c r="L52" s="333">
        <v>-1195957</v>
      </c>
      <c r="M52" s="344"/>
      <c r="N52" s="344"/>
      <c r="O52" s="333">
        <v>1414722</v>
      </c>
      <c r="P52" s="333">
        <v>1330481</v>
      </c>
      <c r="Q52" s="349"/>
      <c r="R52" s="349"/>
      <c r="S52" s="333"/>
      <c r="T52" s="333"/>
      <c r="U52" s="333"/>
      <c r="V52" s="333"/>
      <c r="W52" s="333">
        <v>7043092</v>
      </c>
      <c r="X52" s="333">
        <v>7397295</v>
      </c>
      <c r="Y52" s="333">
        <v>15092910</v>
      </c>
      <c r="Z52" s="333">
        <v>11279936</v>
      </c>
      <c r="AA52" s="351"/>
      <c r="AB52" s="351"/>
      <c r="AC52" s="333">
        <v>473501</v>
      </c>
      <c r="AD52" s="333">
        <v>358200</v>
      </c>
      <c r="AE52" s="333"/>
      <c r="AF52" s="333"/>
      <c r="AG52" s="333">
        <v>3153658</v>
      </c>
      <c r="AH52" s="333">
        <v>2417803</v>
      </c>
      <c r="AI52" s="333">
        <v>476187</v>
      </c>
      <c r="AJ52" s="333">
        <v>309314</v>
      </c>
      <c r="AK52" s="333"/>
      <c r="AL52" s="333"/>
      <c r="AM52" s="353"/>
      <c r="AN52" s="353"/>
      <c r="AO52" s="803">
        <v>4612523</v>
      </c>
      <c r="AP52" s="803">
        <v>5417342</v>
      </c>
      <c r="AQ52" s="333"/>
      <c r="AR52" s="333"/>
      <c r="AS52" s="351">
        <v>474746</v>
      </c>
      <c r="AT52" s="351">
        <v>602418</v>
      </c>
      <c r="AU52" s="333">
        <v>193933</v>
      </c>
      <c r="AV52" s="333">
        <v>146974</v>
      </c>
      <c r="AW52" s="341"/>
      <c r="AX52" s="333"/>
    </row>
    <row r="53" spans="1:50" ht="16.5">
      <c r="A53" s="275" t="s">
        <v>202</v>
      </c>
      <c r="B53" s="339"/>
      <c r="C53" s="331"/>
      <c r="D53" s="798"/>
      <c r="E53" s="331">
        <v>-32642</v>
      </c>
      <c r="F53" s="560">
        <v>-99786</v>
      </c>
      <c r="G53" s="341"/>
      <c r="H53" s="333">
        <v>111884</v>
      </c>
      <c r="I53" s="333"/>
      <c r="J53" s="333"/>
      <c r="K53" s="333"/>
      <c r="L53" s="333"/>
      <c r="M53" s="344">
        <v>1448157</v>
      </c>
      <c r="N53" s="344">
        <v>862947</v>
      </c>
      <c r="O53" s="333"/>
      <c r="P53" s="333"/>
      <c r="Q53" s="349">
        <v>41598</v>
      </c>
      <c r="R53" s="349">
        <v>5733</v>
      </c>
      <c r="S53" s="333">
        <v>339248</v>
      </c>
      <c r="T53" s="333">
        <v>213272</v>
      </c>
      <c r="U53" s="333"/>
      <c r="V53" s="333"/>
      <c r="W53" s="333"/>
      <c r="X53" s="333"/>
      <c r="Y53" s="333"/>
      <c r="Z53" s="333"/>
      <c r="AA53" s="351">
        <v>-132961</v>
      </c>
      <c r="AB53" s="351">
        <v>-2300</v>
      </c>
      <c r="AC53" s="333">
        <v>-79638</v>
      </c>
      <c r="AD53" s="333">
        <v>-187514</v>
      </c>
      <c r="AE53" s="333"/>
      <c r="AF53" s="333"/>
      <c r="AG53" s="333"/>
      <c r="AH53" s="333"/>
      <c r="AI53" s="333"/>
      <c r="AJ53" s="333"/>
      <c r="AK53" s="333">
        <v>60324</v>
      </c>
      <c r="AL53" s="333">
        <v>14945</v>
      </c>
      <c r="AM53" s="353"/>
      <c r="AN53" s="353"/>
      <c r="AO53" s="803"/>
      <c r="AP53" s="803"/>
      <c r="AQ53" s="333"/>
      <c r="AR53" s="333"/>
      <c r="AS53" s="351">
        <v>605676</v>
      </c>
      <c r="AT53" s="351"/>
      <c r="AU53" s="333"/>
      <c r="AV53" s="333"/>
      <c r="AW53" s="341"/>
      <c r="AX53" s="333"/>
    </row>
    <row r="54" spans="1:50" ht="16.5">
      <c r="A54" s="275" t="s">
        <v>181</v>
      </c>
      <c r="B54" s="339"/>
      <c r="C54" s="331"/>
      <c r="D54" s="798"/>
      <c r="E54" s="331"/>
      <c r="F54" s="560"/>
      <c r="G54" s="341"/>
      <c r="H54" s="333"/>
      <c r="I54" s="333"/>
      <c r="J54" s="333"/>
      <c r="K54" s="333"/>
      <c r="L54" s="333"/>
      <c r="M54" s="344"/>
      <c r="N54" s="344"/>
      <c r="O54" s="333"/>
      <c r="P54" s="333"/>
      <c r="Q54" s="349"/>
      <c r="R54" s="349"/>
      <c r="S54" s="333"/>
      <c r="T54" s="333"/>
      <c r="U54" s="333"/>
      <c r="V54" s="333"/>
      <c r="W54" s="333"/>
      <c r="X54" s="333"/>
      <c r="Y54" s="333"/>
      <c r="Z54" s="333"/>
      <c r="AA54" s="351"/>
      <c r="AB54" s="351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53"/>
      <c r="AN54" s="353"/>
      <c r="AO54" s="804"/>
      <c r="AP54" s="804"/>
      <c r="AQ54" s="333"/>
      <c r="AR54" s="333"/>
      <c r="AS54" s="351"/>
      <c r="AT54" s="351"/>
      <c r="AU54" s="333"/>
      <c r="AV54" s="333"/>
      <c r="AW54" s="341"/>
      <c r="AX54" s="333"/>
    </row>
    <row r="55" spans="1:50" ht="16.5">
      <c r="A55" s="275" t="s">
        <v>182</v>
      </c>
      <c r="B55" s="339"/>
      <c r="C55" s="331">
        <v>-115057</v>
      </c>
      <c r="D55" s="798">
        <v>28332</v>
      </c>
      <c r="E55" s="331">
        <v>297311</v>
      </c>
      <c r="F55" s="560">
        <v>227730</v>
      </c>
      <c r="G55" s="341"/>
      <c r="H55" s="333">
        <v>82017</v>
      </c>
      <c r="I55" s="333">
        <v>1649751</v>
      </c>
      <c r="J55" s="333">
        <v>732765</v>
      </c>
      <c r="K55" s="333">
        <v>616706</v>
      </c>
      <c r="L55" s="333">
        <v>319630</v>
      </c>
      <c r="M55" s="344">
        <v>204176</v>
      </c>
      <c r="N55" s="344">
        <v>463732</v>
      </c>
      <c r="O55" s="333">
        <v>116328</v>
      </c>
      <c r="P55" s="333">
        <v>-41729</v>
      </c>
      <c r="Q55" s="349">
        <v>6882</v>
      </c>
      <c r="R55" s="349">
        <v>8945</v>
      </c>
      <c r="S55" s="333"/>
      <c r="T55" s="333"/>
      <c r="U55" s="333"/>
      <c r="V55" s="333"/>
      <c r="W55" s="333">
        <v>-398552</v>
      </c>
      <c r="X55" s="333">
        <v>956521</v>
      </c>
      <c r="Y55" s="333">
        <v>655511</v>
      </c>
      <c r="Z55" s="333">
        <v>1578761</v>
      </c>
      <c r="AA55" s="351">
        <v>1181540</v>
      </c>
      <c r="AB55" s="351"/>
      <c r="AC55" s="333">
        <v>514369</v>
      </c>
      <c r="AD55" s="333">
        <v>241430</v>
      </c>
      <c r="AE55" s="333">
        <v>4325755</v>
      </c>
      <c r="AF55" s="333">
        <v>4321822</v>
      </c>
      <c r="AG55" s="333">
        <v>-2919434</v>
      </c>
      <c r="AH55" s="333">
        <v>22497702</v>
      </c>
      <c r="AI55" s="333">
        <v>1548847</v>
      </c>
      <c r="AJ55" s="333">
        <v>1459577</v>
      </c>
      <c r="AK55" s="333">
        <v>307197</v>
      </c>
      <c r="AL55" s="333">
        <v>632971</v>
      </c>
      <c r="AM55" s="353"/>
      <c r="AN55" s="353"/>
      <c r="AO55" s="803">
        <v>8384410</v>
      </c>
      <c r="AP55" s="803">
        <v>9750207</v>
      </c>
      <c r="AQ55" s="333">
        <v>754437</v>
      </c>
      <c r="AR55" s="333">
        <v>320797</v>
      </c>
      <c r="AS55" s="351">
        <v>219192</v>
      </c>
      <c r="AT55" s="351">
        <v>323801</v>
      </c>
      <c r="AU55" s="333">
        <v>3746080</v>
      </c>
      <c r="AV55" s="333">
        <v>-464017</v>
      </c>
      <c r="AW55" s="341"/>
      <c r="AX55" s="333"/>
    </row>
    <row r="56" spans="1:50" s="623" customFormat="1" ht="18">
      <c r="A56" s="613" t="s">
        <v>215</v>
      </c>
      <c r="B56" s="614"/>
      <c r="C56" s="615">
        <v>1096112</v>
      </c>
      <c r="D56" s="800">
        <v>1859781</v>
      </c>
      <c r="E56" s="615">
        <v>264669</v>
      </c>
      <c r="F56" s="616">
        <v>127944</v>
      </c>
      <c r="G56" s="615"/>
      <c r="H56" s="615">
        <v>193901</v>
      </c>
      <c r="I56" s="615">
        <v>4378756</v>
      </c>
      <c r="J56" s="615">
        <v>1111281</v>
      </c>
      <c r="K56" s="615">
        <v>-782818</v>
      </c>
      <c r="L56" s="615">
        <v>-876327</v>
      </c>
      <c r="M56" s="615">
        <v>1652333</v>
      </c>
      <c r="N56" s="615"/>
      <c r="O56" s="615">
        <v>1531050</v>
      </c>
      <c r="P56" s="615">
        <v>1288752</v>
      </c>
      <c r="Q56" s="615">
        <v>48480</v>
      </c>
      <c r="R56" s="615">
        <v>14678</v>
      </c>
      <c r="S56" s="615">
        <v>339248</v>
      </c>
      <c r="T56" s="615">
        <v>213272</v>
      </c>
      <c r="U56" s="615"/>
      <c r="V56" s="615"/>
      <c r="W56" s="615">
        <v>6644540</v>
      </c>
      <c r="X56" s="615">
        <v>8353816</v>
      </c>
      <c r="Y56" s="615">
        <v>15748421</v>
      </c>
      <c r="Z56" s="615">
        <v>12858697</v>
      </c>
      <c r="AA56" s="615">
        <v>1048579</v>
      </c>
      <c r="AB56" s="615">
        <v>969520</v>
      </c>
      <c r="AC56" s="615">
        <v>898231</v>
      </c>
      <c r="AD56" s="615">
        <v>412115</v>
      </c>
      <c r="AE56" s="615">
        <v>4325755</v>
      </c>
      <c r="AF56" s="615">
        <v>4321822</v>
      </c>
      <c r="AG56" s="615"/>
      <c r="AH56" s="615">
        <v>2577503</v>
      </c>
      <c r="AI56" s="615">
        <v>2025034</v>
      </c>
      <c r="AJ56" s="615">
        <v>1768891</v>
      </c>
      <c r="AK56" s="615">
        <v>367521</v>
      </c>
      <c r="AL56" s="615">
        <v>647916</v>
      </c>
      <c r="AM56" s="615"/>
      <c r="AN56" s="615"/>
      <c r="AO56" s="615">
        <v>12996933</v>
      </c>
      <c r="AP56" s="615">
        <v>12351343</v>
      </c>
      <c r="AQ56" s="615">
        <v>754437</v>
      </c>
      <c r="AR56" s="615">
        <v>320797</v>
      </c>
      <c r="AS56" s="615">
        <v>1299614</v>
      </c>
      <c r="AT56" s="615">
        <v>926219</v>
      </c>
      <c r="AU56" s="615">
        <v>3940013</v>
      </c>
      <c r="AV56" s="615">
        <v>-317043</v>
      </c>
      <c r="AW56" s="615"/>
      <c r="AX56" s="615"/>
    </row>
    <row r="57" spans="1:50" ht="17.25">
      <c r="A57" s="275" t="s">
        <v>183</v>
      </c>
      <c r="B57" s="339"/>
      <c r="C57" s="332">
        <f>50429+986</f>
        <v>51415</v>
      </c>
      <c r="D57" s="799">
        <f>25500+974</f>
        <v>26474</v>
      </c>
      <c r="E57" s="332">
        <v>532</v>
      </c>
      <c r="F57" s="561">
        <v>799</v>
      </c>
      <c r="G57" s="342"/>
      <c r="H57" s="334">
        <v>9302</v>
      </c>
      <c r="I57" s="334">
        <v>886615</v>
      </c>
      <c r="J57" s="334">
        <v>744564</v>
      </c>
      <c r="K57" s="334"/>
      <c r="L57" s="334"/>
      <c r="M57" s="345"/>
      <c r="N57" s="345">
        <v>10944</v>
      </c>
      <c r="O57" s="334">
        <v>176</v>
      </c>
      <c r="P57" s="334">
        <v>103</v>
      </c>
      <c r="Q57" s="92">
        <v>113</v>
      </c>
      <c r="R57" s="92">
        <v>235</v>
      </c>
      <c r="S57" s="334"/>
      <c r="T57" s="334"/>
      <c r="U57" s="334">
        <f>5767+5755</f>
        <v>11522</v>
      </c>
      <c r="V57" s="334">
        <f>4076+7535</f>
        <v>11611</v>
      </c>
      <c r="W57" s="334">
        <f>846637+3694856</f>
        <v>4541493</v>
      </c>
      <c r="X57" s="334">
        <f>383080+5669738</f>
        <v>6052818</v>
      </c>
      <c r="Y57" s="334"/>
      <c r="Z57" s="334">
        <v>524593</v>
      </c>
      <c r="AA57" s="350"/>
      <c r="AB57" s="350"/>
      <c r="AC57" s="334"/>
      <c r="AD57" s="334"/>
      <c r="AE57" s="352">
        <v>331111</v>
      </c>
      <c r="AF57" s="352">
        <v>179628</v>
      </c>
      <c r="AG57" s="334">
        <v>20113</v>
      </c>
      <c r="AH57" s="334">
        <v>11983</v>
      </c>
      <c r="AI57" s="334">
        <v>26472</v>
      </c>
      <c r="AJ57" s="334">
        <v>22426</v>
      </c>
      <c r="AK57" s="334">
        <v>2158</v>
      </c>
      <c r="AL57" s="334">
        <v>4724</v>
      </c>
      <c r="AM57" s="353"/>
      <c r="AN57" s="353"/>
      <c r="AO57" s="803">
        <v>486656</v>
      </c>
      <c r="AP57" s="803">
        <v>438462</v>
      </c>
      <c r="AQ57" s="333">
        <v>2388</v>
      </c>
      <c r="AR57" s="333">
        <v>2586</v>
      </c>
      <c r="AS57" s="333">
        <v>112</v>
      </c>
      <c r="AT57" s="333">
        <v>48</v>
      </c>
      <c r="AU57" s="334"/>
      <c r="AV57" s="334"/>
      <c r="AW57" s="342"/>
      <c r="AX57" s="334">
        <v>14575372</v>
      </c>
    </row>
    <row r="58" spans="1:50" ht="16.5">
      <c r="A58" s="275" t="s">
        <v>184</v>
      </c>
      <c r="B58" s="339"/>
      <c r="C58" s="331"/>
      <c r="D58" s="798"/>
      <c r="E58" s="331"/>
      <c r="F58" s="560"/>
      <c r="G58" s="341"/>
      <c r="H58" s="333"/>
      <c r="I58" s="333"/>
      <c r="J58" s="333"/>
      <c r="K58" s="333"/>
      <c r="L58" s="333"/>
      <c r="M58" s="344">
        <v>28429</v>
      </c>
      <c r="N58" s="344"/>
      <c r="O58" s="333"/>
      <c r="P58" s="333"/>
      <c r="Q58" s="349"/>
      <c r="R58" s="349"/>
      <c r="S58" s="333"/>
      <c r="T58" s="333"/>
      <c r="U58" s="333"/>
      <c r="V58" s="333"/>
      <c r="W58" s="333"/>
      <c r="X58" s="333"/>
      <c r="Y58" s="333"/>
      <c r="Z58" s="333"/>
      <c r="AA58" s="351"/>
      <c r="AB58" s="351"/>
      <c r="AC58" s="333"/>
      <c r="AD58" s="333"/>
      <c r="AE58" s="333"/>
      <c r="AF58" s="333"/>
      <c r="AG58" s="333">
        <v>13231024</v>
      </c>
      <c r="AH58" s="333">
        <v>12468817</v>
      </c>
      <c r="AI58" s="333"/>
      <c r="AJ58" s="333"/>
      <c r="AK58" s="333"/>
      <c r="AL58" s="333"/>
      <c r="AM58" s="353"/>
      <c r="AN58" s="353"/>
      <c r="AO58" s="804"/>
      <c r="AP58" s="804"/>
      <c r="AQ58" s="333">
        <v>957108</v>
      </c>
      <c r="AR58" s="333">
        <v>835499</v>
      </c>
      <c r="AS58" s="351"/>
      <c r="AT58" s="351"/>
      <c r="AU58" s="333"/>
      <c r="AV58" s="333"/>
      <c r="AW58" s="341"/>
      <c r="AX58" s="333"/>
    </row>
    <row r="59" spans="1:50" ht="17.25" thickBot="1">
      <c r="A59" s="487" t="s">
        <v>185</v>
      </c>
      <c r="B59" s="488"/>
      <c r="C59" s="796">
        <v>1096112</v>
      </c>
      <c r="D59" s="801">
        <v>1859781</v>
      </c>
      <c r="E59" s="796">
        <v>264669</v>
      </c>
      <c r="F59" s="562">
        <v>127944</v>
      </c>
      <c r="G59" s="490"/>
      <c r="H59" s="489">
        <v>193892</v>
      </c>
      <c r="I59" s="489">
        <v>4378756</v>
      </c>
      <c r="J59" s="489">
        <v>732765</v>
      </c>
      <c r="K59" s="489"/>
      <c r="L59" s="489"/>
      <c r="M59" s="491">
        <v>1652333</v>
      </c>
      <c r="N59" s="491">
        <v>1326679</v>
      </c>
      <c r="O59" s="489">
        <v>1531050</v>
      </c>
      <c r="P59" s="489">
        <v>1288752</v>
      </c>
      <c r="Q59" s="492">
        <v>48480</v>
      </c>
      <c r="R59" s="492">
        <v>14678</v>
      </c>
      <c r="S59" s="489"/>
      <c r="T59" s="489"/>
      <c r="U59" s="489"/>
      <c r="V59" s="489">
        <v>36931</v>
      </c>
      <c r="W59" s="489">
        <v>6644540</v>
      </c>
      <c r="X59" s="489">
        <v>8353816</v>
      </c>
      <c r="Y59" s="489"/>
      <c r="Z59" s="489">
        <v>12858697</v>
      </c>
      <c r="AA59" s="493"/>
      <c r="AB59" s="493"/>
      <c r="AC59" s="489"/>
      <c r="AD59" s="489"/>
      <c r="AE59" s="489">
        <v>4325755</v>
      </c>
      <c r="AF59" s="489">
        <v>4321822</v>
      </c>
      <c r="AG59" s="489">
        <v>31196525</v>
      </c>
      <c r="AH59" s="489">
        <v>27493008</v>
      </c>
      <c r="AI59" s="489">
        <v>2025034</v>
      </c>
      <c r="AJ59" s="489">
        <v>1768891</v>
      </c>
      <c r="AK59" s="489">
        <v>367521</v>
      </c>
      <c r="AL59" s="489">
        <v>647916</v>
      </c>
      <c r="AM59" s="494"/>
      <c r="AN59" s="494"/>
      <c r="AO59" s="808">
        <v>12993933</v>
      </c>
      <c r="AP59" s="808">
        <v>12351343</v>
      </c>
      <c r="AQ59" s="489">
        <v>441721</v>
      </c>
      <c r="AR59" s="489">
        <v>239165</v>
      </c>
      <c r="AS59" s="493">
        <v>444638</v>
      </c>
      <c r="AT59" s="493">
        <v>632737</v>
      </c>
      <c r="AU59" s="489">
        <v>3940013</v>
      </c>
      <c r="AV59" s="489">
        <v>-317043</v>
      </c>
      <c r="AW59" s="490"/>
      <c r="AX59" s="489"/>
    </row>
    <row r="60" spans="1:50" s="623" customFormat="1" ht="18.75" thickBot="1">
      <c r="A60" s="624" t="s">
        <v>186</v>
      </c>
      <c r="B60" s="625"/>
      <c r="C60" s="795">
        <v>1147527</v>
      </c>
      <c r="D60" s="626">
        <v>1886255</v>
      </c>
      <c r="E60" s="795">
        <v>265200</v>
      </c>
      <c r="F60" s="626">
        <v>128743</v>
      </c>
      <c r="G60" s="628"/>
      <c r="H60" s="627">
        <v>203194</v>
      </c>
      <c r="I60" s="627">
        <v>5265371</v>
      </c>
      <c r="J60" s="627">
        <v>9747909</v>
      </c>
      <c r="K60" s="627"/>
      <c r="L60" s="627"/>
      <c r="M60" s="629">
        <v>1680762</v>
      </c>
      <c r="N60" s="629">
        <v>1337623</v>
      </c>
      <c r="O60" s="627">
        <v>1531226</v>
      </c>
      <c r="P60" s="627">
        <v>1288855</v>
      </c>
      <c r="Q60" s="630">
        <v>48593</v>
      </c>
      <c r="R60" s="630">
        <v>14913</v>
      </c>
      <c r="S60" s="627"/>
      <c r="T60" s="627"/>
      <c r="U60" s="627">
        <v>11522</v>
      </c>
      <c r="V60" s="627">
        <v>48542</v>
      </c>
      <c r="W60" s="627">
        <v>1186033</v>
      </c>
      <c r="X60" s="627">
        <v>14406634</v>
      </c>
      <c r="Y60" s="627"/>
      <c r="Z60" s="627">
        <v>13383290</v>
      </c>
      <c r="AA60" s="631"/>
      <c r="AB60" s="631"/>
      <c r="AC60" s="627"/>
      <c r="AD60" s="627"/>
      <c r="AE60" s="627">
        <v>4656866</v>
      </c>
      <c r="AF60" s="627">
        <v>4501450</v>
      </c>
      <c r="AG60" s="627">
        <v>44447662</v>
      </c>
      <c r="AH60" s="627">
        <v>39973808</v>
      </c>
      <c r="AI60" s="627">
        <v>2051506</v>
      </c>
      <c r="AJ60" s="627">
        <v>1791317</v>
      </c>
      <c r="AK60" s="627">
        <v>369679</v>
      </c>
      <c r="AL60" s="627">
        <v>652640</v>
      </c>
      <c r="AM60" s="632"/>
      <c r="AN60" s="632"/>
      <c r="AO60" s="809">
        <v>13483589</v>
      </c>
      <c r="AP60" s="809">
        <v>12789806</v>
      </c>
      <c r="AQ60" s="627">
        <v>1401217</v>
      </c>
      <c r="AR60" s="627">
        <v>1077250</v>
      </c>
      <c r="AS60" s="631">
        <v>444750</v>
      </c>
      <c r="AT60" s="631">
        <v>632785</v>
      </c>
      <c r="AU60" s="627">
        <f>AU59</f>
        <v>3940013</v>
      </c>
      <c r="AV60" s="627">
        <f>AV59</f>
        <v>-317043</v>
      </c>
      <c r="AW60" s="628"/>
      <c r="AX60" s="627"/>
    </row>
    <row r="61" spans="41:42" ht="16.5">
      <c r="AO61" s="329"/>
      <c r="AP61" s="329"/>
    </row>
    <row r="62" spans="41:42" ht="16.5">
      <c r="AO62" s="329"/>
      <c r="AP62" s="329"/>
    </row>
  </sheetData>
  <sheetProtection/>
  <mergeCells count="26">
    <mergeCell ref="AU2:AV2"/>
    <mergeCell ref="AW2:AX2"/>
    <mergeCell ref="AI2:AJ2"/>
    <mergeCell ref="AK2:AL2"/>
    <mergeCell ref="AM2:AN2"/>
    <mergeCell ref="AO2:AP2"/>
    <mergeCell ref="AQ2:AR2"/>
    <mergeCell ref="AS2:AT2"/>
    <mergeCell ref="Y2:Z2"/>
    <mergeCell ref="W2:X2"/>
    <mergeCell ref="U2:V2"/>
    <mergeCell ref="S2:T2"/>
    <mergeCell ref="AG2:AH2"/>
    <mergeCell ref="AE2:AF2"/>
    <mergeCell ref="AC2:AD2"/>
    <mergeCell ref="AA2:AB2"/>
    <mergeCell ref="A1:AX1"/>
    <mergeCell ref="A2:A3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Z3" sqref="Z3:AA3"/>
    </sheetView>
  </sheetViews>
  <sheetFormatPr defaultColWidth="9.140625" defaultRowHeight="15"/>
  <cols>
    <col min="1" max="1" width="23.7109375" style="61" bestFit="1" customWidth="1"/>
    <col min="2" max="2" width="13.8515625" style="61" bestFit="1" customWidth="1"/>
    <col min="3" max="3" width="15.00390625" style="61" bestFit="1" customWidth="1"/>
    <col min="4" max="4" width="13.8515625" style="61" bestFit="1" customWidth="1"/>
    <col min="5" max="5" width="15.00390625" style="61" bestFit="1" customWidth="1"/>
    <col min="6" max="6" width="13.8515625" style="61" bestFit="1" customWidth="1"/>
    <col min="7" max="7" width="15.00390625" style="61" bestFit="1" customWidth="1"/>
    <col min="8" max="8" width="13.8515625" style="61" bestFit="1" customWidth="1"/>
    <col min="9" max="9" width="15.00390625" style="61" bestFit="1" customWidth="1"/>
    <col min="10" max="10" width="13.8515625" style="61" bestFit="1" customWidth="1"/>
    <col min="11" max="11" width="15.00390625" style="61" bestFit="1" customWidth="1"/>
    <col min="12" max="12" width="13.8515625" style="61" bestFit="1" customWidth="1"/>
    <col min="13" max="13" width="15.00390625" style="61" bestFit="1" customWidth="1"/>
    <col min="14" max="14" width="13.8515625" style="61" bestFit="1" customWidth="1"/>
    <col min="15" max="15" width="15.00390625" style="61" bestFit="1" customWidth="1"/>
    <col min="16" max="16" width="13.8515625" style="61" bestFit="1" customWidth="1"/>
    <col min="17" max="17" width="15.00390625" style="61" bestFit="1" customWidth="1"/>
    <col min="18" max="18" width="13.8515625" style="61" bestFit="1" customWidth="1"/>
    <col min="19" max="19" width="15.00390625" style="61" bestFit="1" customWidth="1"/>
    <col min="20" max="20" width="13.8515625" style="61" bestFit="1" customWidth="1"/>
    <col min="21" max="21" width="15.00390625" style="61" bestFit="1" customWidth="1"/>
    <col min="22" max="22" width="13.8515625" style="61" bestFit="1" customWidth="1"/>
    <col min="23" max="23" width="15.00390625" style="61" bestFit="1" customWidth="1"/>
    <col min="24" max="24" width="13.8515625" style="61" bestFit="1" customWidth="1"/>
    <col min="25" max="25" width="15.00390625" style="61" bestFit="1" customWidth="1"/>
    <col min="26" max="26" width="13.8515625" style="61" bestFit="1" customWidth="1"/>
    <col min="27" max="27" width="15.00390625" style="61" bestFit="1" customWidth="1"/>
    <col min="28" max="28" width="13.8515625" style="61" bestFit="1" customWidth="1"/>
    <col min="29" max="29" width="15.00390625" style="61" bestFit="1" customWidth="1"/>
    <col min="30" max="30" width="13.8515625" style="61" bestFit="1" customWidth="1"/>
    <col min="31" max="31" width="15.00390625" style="61" bestFit="1" customWidth="1"/>
    <col min="32" max="32" width="13.8515625" style="61" bestFit="1" customWidth="1"/>
    <col min="33" max="33" width="15.00390625" style="61" bestFit="1" customWidth="1"/>
    <col min="34" max="34" width="13.8515625" style="61" bestFit="1" customWidth="1"/>
    <col min="35" max="35" width="15.00390625" style="61" bestFit="1" customWidth="1"/>
    <col min="36" max="36" width="13.8515625" style="61" bestFit="1" customWidth="1"/>
    <col min="37" max="37" width="15.00390625" style="61" bestFit="1" customWidth="1"/>
    <col min="38" max="38" width="13.8515625" style="61" bestFit="1" customWidth="1"/>
    <col min="39" max="39" width="15.00390625" style="61" bestFit="1" customWidth="1"/>
    <col min="40" max="40" width="13.8515625" style="61" bestFit="1" customWidth="1"/>
    <col min="41" max="41" width="15.00390625" style="61" bestFit="1" customWidth="1"/>
    <col min="42" max="42" width="13.8515625" style="61" bestFit="1" customWidth="1"/>
    <col min="43" max="43" width="15.00390625" style="61" bestFit="1" customWidth="1"/>
    <col min="44" max="44" width="13.8515625" style="61" bestFit="1" customWidth="1"/>
    <col min="45" max="45" width="15.00390625" style="61" bestFit="1" customWidth="1"/>
    <col min="46" max="46" width="13.8515625" style="61" bestFit="1" customWidth="1"/>
    <col min="47" max="47" width="15.00390625" style="61" bestFit="1" customWidth="1"/>
    <col min="48" max="48" width="13.8515625" style="61" bestFit="1" customWidth="1"/>
    <col min="49" max="49" width="15.00390625" style="61" bestFit="1" customWidth="1"/>
    <col min="50" max="50" width="13.8515625" style="61" bestFit="1" customWidth="1"/>
    <col min="51" max="51" width="15.00390625" style="61" bestFit="1" customWidth="1"/>
    <col min="52" max="52" width="13.8515625" style="61" bestFit="1" customWidth="1"/>
    <col min="53" max="53" width="15.00390625" style="61" bestFit="1" customWidth="1"/>
    <col min="54" max="16384" width="9.140625" style="61" customWidth="1"/>
  </cols>
  <sheetData>
    <row r="1" spans="1:52" ht="13.5">
      <c r="A1" s="1050" t="s">
        <v>210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  <c r="AK1" s="1050"/>
      <c r="AL1" s="1050"/>
      <c r="AM1" s="1050"/>
      <c r="AN1" s="1050"/>
      <c r="AO1" s="1050"/>
      <c r="AP1" s="1050"/>
      <c r="AQ1" s="1050"/>
      <c r="AR1" s="1050"/>
      <c r="AS1" s="1050"/>
      <c r="AT1" s="1050"/>
      <c r="AU1" s="1050"/>
      <c r="AV1" s="1050"/>
      <c r="AW1" s="1050"/>
      <c r="AX1" s="1050"/>
      <c r="AY1" s="1050"/>
      <c r="AZ1" s="1050"/>
    </row>
    <row r="2" spans="1:52" ht="14.25" thickBot="1">
      <c r="A2" s="1051" t="s">
        <v>114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  <c r="S2" s="1051"/>
      <c r="T2" s="1051"/>
      <c r="U2" s="1051"/>
      <c r="V2" s="1051"/>
      <c r="W2" s="1051"/>
      <c r="X2" s="1051"/>
      <c r="Y2" s="1051"/>
      <c r="Z2" s="1051"/>
      <c r="AA2" s="1051"/>
      <c r="AB2" s="1051"/>
      <c r="AC2" s="1051"/>
      <c r="AD2" s="1051"/>
      <c r="AE2" s="1051"/>
      <c r="AF2" s="1051"/>
      <c r="AG2" s="1051"/>
      <c r="AH2" s="1051"/>
      <c r="AI2" s="1051"/>
      <c r="AJ2" s="1051"/>
      <c r="AK2" s="1051"/>
      <c r="AL2" s="1051"/>
      <c r="AM2" s="1051"/>
      <c r="AN2" s="1051"/>
      <c r="AO2" s="1051"/>
      <c r="AP2" s="1051"/>
      <c r="AQ2" s="1051"/>
      <c r="AR2" s="1051"/>
      <c r="AS2" s="1051"/>
      <c r="AT2" s="1051"/>
      <c r="AU2" s="1051"/>
      <c r="AV2" s="1051"/>
      <c r="AW2" s="1051"/>
      <c r="AX2" s="1051"/>
      <c r="AY2" s="1051"/>
      <c r="AZ2" s="1051"/>
    </row>
    <row r="3" spans="1:53" s="427" customFormat="1" ht="40.5" customHeight="1" thickBot="1">
      <c r="A3" s="1052" t="s">
        <v>0</v>
      </c>
      <c r="B3" s="1054" t="s">
        <v>116</v>
      </c>
      <c r="C3" s="1055"/>
      <c r="D3" s="952" t="s">
        <v>117</v>
      </c>
      <c r="E3" s="1056"/>
      <c r="F3" s="952" t="s">
        <v>118</v>
      </c>
      <c r="G3" s="953"/>
      <c r="H3" s="1057" t="s">
        <v>119</v>
      </c>
      <c r="I3" s="1058"/>
      <c r="J3" s="952" t="s">
        <v>120</v>
      </c>
      <c r="K3" s="1056"/>
      <c r="L3" s="953" t="s">
        <v>121</v>
      </c>
      <c r="M3" s="953"/>
      <c r="N3" s="1059" t="s">
        <v>226</v>
      </c>
      <c r="O3" s="1060"/>
      <c r="P3" s="1059" t="s">
        <v>122</v>
      </c>
      <c r="Q3" s="1060"/>
      <c r="R3" s="1059" t="s">
        <v>123</v>
      </c>
      <c r="S3" s="1060"/>
      <c r="T3" s="953" t="s">
        <v>124</v>
      </c>
      <c r="U3" s="953"/>
      <c r="V3" s="952" t="s">
        <v>125</v>
      </c>
      <c r="W3" s="953"/>
      <c r="X3" s="952" t="s">
        <v>126</v>
      </c>
      <c r="Y3" s="953"/>
      <c r="Z3" s="952" t="s">
        <v>234</v>
      </c>
      <c r="AA3" s="953"/>
      <c r="AB3" s="1059" t="s">
        <v>127</v>
      </c>
      <c r="AC3" s="1060"/>
      <c r="AD3" s="1049" t="s">
        <v>128</v>
      </c>
      <c r="AE3" s="1049"/>
      <c r="AF3" s="952" t="s">
        <v>129</v>
      </c>
      <c r="AG3" s="953"/>
      <c r="AH3" s="952" t="s">
        <v>130</v>
      </c>
      <c r="AI3" s="953"/>
      <c r="AJ3" s="952" t="s">
        <v>131</v>
      </c>
      <c r="AK3" s="953"/>
      <c r="AL3" s="1048" t="s">
        <v>132</v>
      </c>
      <c r="AM3" s="1049"/>
      <c r="AN3" s="952" t="s">
        <v>133</v>
      </c>
      <c r="AO3" s="953"/>
      <c r="AP3" s="952" t="s">
        <v>134</v>
      </c>
      <c r="AQ3" s="953"/>
      <c r="AR3" s="952" t="s">
        <v>135</v>
      </c>
      <c r="AS3" s="953"/>
      <c r="AT3" s="953" t="s">
        <v>136</v>
      </c>
      <c r="AU3" s="953"/>
      <c r="AV3" s="952" t="s">
        <v>1</v>
      </c>
      <c r="AW3" s="953"/>
      <c r="AX3" s="1048" t="s">
        <v>137</v>
      </c>
      <c r="AY3" s="1049"/>
      <c r="AZ3" s="1046" t="s">
        <v>2</v>
      </c>
      <c r="BA3" s="1047"/>
    </row>
    <row r="4" spans="1:53" s="287" customFormat="1" ht="15" thickBot="1">
      <c r="A4" s="1053"/>
      <c r="B4" s="361" t="s">
        <v>230</v>
      </c>
      <c r="C4" s="362" t="s">
        <v>231</v>
      </c>
      <c r="D4" s="361" t="s">
        <v>230</v>
      </c>
      <c r="E4" s="362" t="s">
        <v>231</v>
      </c>
      <c r="F4" s="361" t="s">
        <v>230</v>
      </c>
      <c r="G4" s="362" t="s">
        <v>231</v>
      </c>
      <c r="H4" s="361" t="s">
        <v>230</v>
      </c>
      <c r="I4" s="362" t="s">
        <v>231</v>
      </c>
      <c r="J4" s="361" t="s">
        <v>230</v>
      </c>
      <c r="K4" s="362" t="s">
        <v>231</v>
      </c>
      <c r="L4" s="361" t="s">
        <v>230</v>
      </c>
      <c r="M4" s="362" t="s">
        <v>231</v>
      </c>
      <c r="N4" s="361" t="s">
        <v>230</v>
      </c>
      <c r="O4" s="362" t="s">
        <v>231</v>
      </c>
      <c r="P4" s="361" t="s">
        <v>230</v>
      </c>
      <c r="Q4" s="362" t="s">
        <v>231</v>
      </c>
      <c r="R4" s="361" t="s">
        <v>230</v>
      </c>
      <c r="S4" s="362" t="s">
        <v>231</v>
      </c>
      <c r="T4" s="361" t="s">
        <v>230</v>
      </c>
      <c r="U4" s="362" t="s">
        <v>231</v>
      </c>
      <c r="V4" s="361" t="s">
        <v>230</v>
      </c>
      <c r="W4" s="362" t="s">
        <v>231</v>
      </c>
      <c r="X4" s="361" t="s">
        <v>230</v>
      </c>
      <c r="Y4" s="362" t="s">
        <v>231</v>
      </c>
      <c r="Z4" s="361" t="s">
        <v>230</v>
      </c>
      <c r="AA4" s="362" t="s">
        <v>231</v>
      </c>
      <c r="AB4" s="361" t="s">
        <v>230</v>
      </c>
      <c r="AC4" s="362" t="s">
        <v>231</v>
      </c>
      <c r="AD4" s="361" t="s">
        <v>230</v>
      </c>
      <c r="AE4" s="362" t="s">
        <v>231</v>
      </c>
      <c r="AF4" s="361" t="s">
        <v>230</v>
      </c>
      <c r="AG4" s="362" t="s">
        <v>231</v>
      </c>
      <c r="AH4" s="361" t="s">
        <v>230</v>
      </c>
      <c r="AI4" s="362" t="s">
        <v>231</v>
      </c>
      <c r="AJ4" s="361" t="s">
        <v>230</v>
      </c>
      <c r="AK4" s="362" t="s">
        <v>231</v>
      </c>
      <c r="AL4" s="361" t="s">
        <v>230</v>
      </c>
      <c r="AM4" s="362" t="s">
        <v>231</v>
      </c>
      <c r="AN4" s="361" t="s">
        <v>230</v>
      </c>
      <c r="AO4" s="362" t="s">
        <v>231</v>
      </c>
      <c r="AP4" s="361" t="s">
        <v>230</v>
      </c>
      <c r="AQ4" s="362" t="s">
        <v>231</v>
      </c>
      <c r="AR4" s="361" t="s">
        <v>230</v>
      </c>
      <c r="AS4" s="362" t="s">
        <v>231</v>
      </c>
      <c r="AT4" s="361" t="s">
        <v>230</v>
      </c>
      <c r="AU4" s="362" t="s">
        <v>231</v>
      </c>
      <c r="AV4" s="361" t="s">
        <v>230</v>
      </c>
      <c r="AW4" s="362" t="s">
        <v>231</v>
      </c>
      <c r="AX4" s="361" t="s">
        <v>230</v>
      </c>
      <c r="AY4" s="362" t="s">
        <v>231</v>
      </c>
      <c r="AZ4" s="361" t="s">
        <v>230</v>
      </c>
      <c r="BA4" s="362" t="s">
        <v>231</v>
      </c>
    </row>
    <row r="5" spans="1:53" s="65" customFormat="1" ht="15" customHeight="1">
      <c r="A5" s="73" t="s">
        <v>3</v>
      </c>
      <c r="B5" s="237">
        <v>1.4</v>
      </c>
      <c r="C5" s="236">
        <v>25.79</v>
      </c>
      <c r="D5" s="233"/>
      <c r="E5" s="235"/>
      <c r="F5" s="233"/>
      <c r="G5" s="234"/>
      <c r="H5" s="233"/>
      <c r="I5" s="236">
        <v>8</v>
      </c>
      <c r="J5" s="553"/>
      <c r="K5" s="693"/>
      <c r="L5" s="237"/>
      <c r="M5" s="234"/>
      <c r="N5" s="233">
        <v>0.87</v>
      </c>
      <c r="O5" s="234">
        <v>0.0062</v>
      </c>
      <c r="P5" s="233">
        <v>0.04</v>
      </c>
      <c r="Q5" s="234">
        <v>0.11</v>
      </c>
      <c r="R5" s="697"/>
      <c r="S5" s="567"/>
      <c r="T5" s="234">
        <v>2.3</v>
      </c>
      <c r="U5" s="234">
        <v>2.33</v>
      </c>
      <c r="V5" s="233">
        <v>1.62</v>
      </c>
      <c r="W5" s="234">
        <v>132.13</v>
      </c>
      <c r="X5" s="233">
        <v>2</v>
      </c>
      <c r="Y5" s="234">
        <v>6</v>
      </c>
      <c r="Z5" s="233">
        <v>0.04</v>
      </c>
      <c r="AA5" s="234">
        <v>0.04</v>
      </c>
      <c r="AB5" s="244"/>
      <c r="AC5" s="253"/>
      <c r="AD5" s="237"/>
      <c r="AE5" s="234"/>
      <c r="AF5" s="233">
        <v>0.34</v>
      </c>
      <c r="AG5" s="234">
        <v>1.94</v>
      </c>
      <c r="AH5" s="237">
        <v>0.26</v>
      </c>
      <c r="AI5" s="234">
        <v>0.41</v>
      </c>
      <c r="AJ5" s="233"/>
      <c r="AK5" s="234"/>
      <c r="AL5" s="233"/>
      <c r="AM5" s="234"/>
      <c r="AN5" s="582">
        <v>38</v>
      </c>
      <c r="AO5" s="583">
        <v>65</v>
      </c>
      <c r="AP5" s="237"/>
      <c r="AQ5" s="234"/>
      <c r="AR5" s="233"/>
      <c r="AS5" s="234">
        <v>0.03</v>
      </c>
      <c r="AT5" s="553">
        <v>0.63</v>
      </c>
      <c r="AU5" s="567">
        <v>1.52</v>
      </c>
      <c r="AV5" s="231">
        <f aca="true" t="shared" si="0" ref="AV5:AV14">SUM(B5+D5+F5+H5+J5+L5+N5+P5+R5+T5+V5+X5+Z5+P5+AD5+AF5+AH5+AJ5+AL5+AN5+AP5+AR5+B5)</f>
        <v>48.309999999999995</v>
      </c>
      <c r="AW5" s="588">
        <f aca="true" t="shared" si="1" ref="AW5:AW14">SUM(C5+E5+G5+I5+K5+M5+O5+Q5+S5+U5+W5+Y5+AA5+Q5+AE5+AG5+AI5+AK5+AM5+AO5+AQ5+AS5+C5)</f>
        <v>267.6862</v>
      </c>
      <c r="AX5" s="233">
        <v>377.21</v>
      </c>
      <c r="AY5" s="234">
        <v>2033.67</v>
      </c>
      <c r="AZ5" s="231">
        <f aca="true" t="shared" si="2" ref="AZ5:AZ14">AV5+AX5</f>
        <v>425.52</v>
      </c>
      <c r="BA5" s="232">
        <f aca="true" t="shared" si="3" ref="BA5:BA14">AW5+AY5</f>
        <v>2301.3562</v>
      </c>
    </row>
    <row r="6" spans="1:53" s="65" customFormat="1" ht="13.5">
      <c r="A6" s="73" t="s">
        <v>4</v>
      </c>
      <c r="B6" s="19">
        <v>-5.2</v>
      </c>
      <c r="C6" s="236">
        <v>-15.97</v>
      </c>
      <c r="D6" s="3"/>
      <c r="E6" s="5"/>
      <c r="F6" s="3"/>
      <c r="G6" s="234"/>
      <c r="H6" s="3">
        <v>228</v>
      </c>
      <c r="I6" s="236">
        <v>492</v>
      </c>
      <c r="J6" s="243">
        <v>2.38</v>
      </c>
      <c r="K6" s="252">
        <v>7.08</v>
      </c>
      <c r="L6" s="19">
        <v>26.27</v>
      </c>
      <c r="M6" s="4">
        <v>168.23</v>
      </c>
      <c r="N6" s="3"/>
      <c r="O6" s="4"/>
      <c r="P6" s="3">
        <v>1.75</v>
      </c>
      <c r="Q6" s="4">
        <v>3.38</v>
      </c>
      <c r="R6" s="3"/>
      <c r="S6" s="4">
        <v>0.11</v>
      </c>
      <c r="T6" s="234">
        <v>27.84</v>
      </c>
      <c r="U6" s="234">
        <v>36.34</v>
      </c>
      <c r="V6" s="3">
        <v>414.62</v>
      </c>
      <c r="W6" s="4">
        <v>857.69</v>
      </c>
      <c r="X6" s="3">
        <v>189</v>
      </c>
      <c r="Y6" s="234">
        <v>360</v>
      </c>
      <c r="Z6" s="58">
        <v>20.81</v>
      </c>
      <c r="AA6" s="59">
        <v>45.01</v>
      </c>
      <c r="AB6" s="243">
        <v>39.7</v>
      </c>
      <c r="AC6" s="251">
        <v>94.07</v>
      </c>
      <c r="AD6" s="19">
        <v>48.46</v>
      </c>
      <c r="AE6" s="234">
        <v>93.14</v>
      </c>
      <c r="AF6" s="3">
        <v>138.4</v>
      </c>
      <c r="AG6" s="234">
        <v>241.93</v>
      </c>
      <c r="AH6" s="19">
        <v>76.36</v>
      </c>
      <c r="AI6" s="4">
        <v>157.06</v>
      </c>
      <c r="AJ6" s="3"/>
      <c r="AK6" s="4"/>
      <c r="AL6" s="72"/>
      <c r="AM6" s="4"/>
      <c r="AN6" s="584">
        <v>756</v>
      </c>
      <c r="AO6" s="580">
        <v>2401</v>
      </c>
      <c r="AP6" s="579"/>
      <c r="AQ6" s="67"/>
      <c r="AR6" s="68">
        <v>71.04</v>
      </c>
      <c r="AS6" s="69">
        <v>174.11</v>
      </c>
      <c r="AT6" s="243">
        <v>0.99</v>
      </c>
      <c r="AU6" s="589">
        <v>1.02</v>
      </c>
      <c r="AV6" s="231">
        <f t="shared" si="0"/>
        <v>1992.28</v>
      </c>
      <c r="AW6" s="588">
        <f t="shared" si="1"/>
        <v>5008.5199999999995</v>
      </c>
      <c r="AX6" s="68">
        <v>0.41</v>
      </c>
      <c r="AY6" s="234">
        <v>1.43</v>
      </c>
      <c r="AZ6" s="56">
        <f t="shared" si="2"/>
        <v>1992.69</v>
      </c>
      <c r="BA6" s="64">
        <f t="shared" si="3"/>
        <v>5009.95</v>
      </c>
    </row>
    <row r="7" spans="1:53" s="65" customFormat="1" ht="13.5">
      <c r="A7" s="73" t="s">
        <v>5</v>
      </c>
      <c r="B7" s="19">
        <v>32.93</v>
      </c>
      <c r="C7" s="236">
        <v>75.21</v>
      </c>
      <c r="D7" s="3">
        <v>0.21</v>
      </c>
      <c r="E7" s="5">
        <v>2.03</v>
      </c>
      <c r="F7" s="3"/>
      <c r="G7" s="234"/>
      <c r="H7" s="3">
        <v>11</v>
      </c>
      <c r="I7" s="236">
        <v>24</v>
      </c>
      <c r="J7" s="243">
        <v>0.2</v>
      </c>
      <c r="K7" s="252">
        <v>0.25</v>
      </c>
      <c r="L7" s="19">
        <v>2.52</v>
      </c>
      <c r="M7" s="4">
        <v>5.61</v>
      </c>
      <c r="N7" s="3">
        <v>27.3</v>
      </c>
      <c r="O7" s="4">
        <v>45.35</v>
      </c>
      <c r="P7" s="3"/>
      <c r="Q7" s="4"/>
      <c r="R7" s="3">
        <v>0.06</v>
      </c>
      <c r="S7" s="4">
        <v>0.06</v>
      </c>
      <c r="T7" s="234">
        <v>0.39</v>
      </c>
      <c r="U7" s="234">
        <v>0.39</v>
      </c>
      <c r="V7" s="3">
        <v>344.82</v>
      </c>
      <c r="W7" s="4">
        <v>668.31</v>
      </c>
      <c r="X7" s="3">
        <v>84</v>
      </c>
      <c r="Y7" s="234">
        <v>129</v>
      </c>
      <c r="Z7" s="58"/>
      <c r="AA7" s="59"/>
      <c r="AB7" s="243"/>
      <c r="AC7" s="251"/>
      <c r="AD7" s="19">
        <v>57.24</v>
      </c>
      <c r="AE7" s="234">
        <v>97.89</v>
      </c>
      <c r="AF7" s="3">
        <v>1.74</v>
      </c>
      <c r="AG7" s="234">
        <v>4.2</v>
      </c>
      <c r="AH7" s="19"/>
      <c r="AI7" s="4">
        <v>0.02</v>
      </c>
      <c r="AJ7" s="3"/>
      <c r="AK7" s="4"/>
      <c r="AL7" s="72"/>
      <c r="AM7" s="4"/>
      <c r="AN7" s="584">
        <v>1</v>
      </c>
      <c r="AO7" s="580">
        <v>2</v>
      </c>
      <c r="AP7" s="579">
        <v>24.49</v>
      </c>
      <c r="AQ7" s="67">
        <v>41.69</v>
      </c>
      <c r="AR7" s="68"/>
      <c r="AS7" s="69"/>
      <c r="AT7" s="243"/>
      <c r="AU7" s="589"/>
      <c r="AV7" s="231">
        <f t="shared" si="0"/>
        <v>620.8299999999999</v>
      </c>
      <c r="AW7" s="588">
        <f t="shared" si="1"/>
        <v>1171.22</v>
      </c>
      <c r="AX7" s="68">
        <v>2.89</v>
      </c>
      <c r="AY7" s="234">
        <v>4.9</v>
      </c>
      <c r="AZ7" s="56">
        <f t="shared" si="2"/>
        <v>623.7199999999999</v>
      </c>
      <c r="BA7" s="64">
        <f t="shared" si="3"/>
        <v>1176.1200000000001</v>
      </c>
    </row>
    <row r="8" spans="1:53" s="65" customFormat="1" ht="13.5">
      <c r="A8" s="73" t="s">
        <v>6</v>
      </c>
      <c r="B8" s="19">
        <v>284.75</v>
      </c>
      <c r="C8" s="236">
        <v>329.7</v>
      </c>
      <c r="D8" s="3">
        <v>5.44</v>
      </c>
      <c r="E8" s="5">
        <v>7.53</v>
      </c>
      <c r="F8" s="3"/>
      <c r="G8" s="234"/>
      <c r="H8" s="3">
        <v>33</v>
      </c>
      <c r="I8" s="236">
        <v>54</v>
      </c>
      <c r="J8" s="243"/>
      <c r="K8" s="252"/>
      <c r="L8" s="19">
        <v>3.15</v>
      </c>
      <c r="M8" s="4">
        <v>16.04</v>
      </c>
      <c r="N8" s="3">
        <v>0.5</v>
      </c>
      <c r="O8" s="4">
        <v>10.18</v>
      </c>
      <c r="P8" s="3">
        <v>0.47</v>
      </c>
      <c r="Q8" s="4">
        <v>2.13</v>
      </c>
      <c r="R8" s="3">
        <v>18.99</v>
      </c>
      <c r="S8" s="4">
        <v>37.17</v>
      </c>
      <c r="T8" s="234">
        <v>2.22</v>
      </c>
      <c r="U8" s="234">
        <v>9.28</v>
      </c>
      <c r="V8" s="3">
        <v>45.86</v>
      </c>
      <c r="W8" s="4">
        <v>85.49</v>
      </c>
      <c r="X8" s="3">
        <v>70</v>
      </c>
      <c r="Y8" s="234">
        <v>147</v>
      </c>
      <c r="Z8" s="58"/>
      <c r="AA8" s="59"/>
      <c r="AB8" s="243">
        <v>13.34</v>
      </c>
      <c r="AC8" s="251">
        <v>26.55</v>
      </c>
      <c r="AD8" s="19">
        <v>16.39</v>
      </c>
      <c r="AE8" s="234">
        <v>41.9</v>
      </c>
      <c r="AF8" s="3">
        <v>5.29</v>
      </c>
      <c r="AG8" s="234">
        <v>26.22</v>
      </c>
      <c r="AH8" s="19">
        <v>27.05</v>
      </c>
      <c r="AI8" s="4">
        <v>48.1</v>
      </c>
      <c r="AJ8" s="3">
        <v>0.01</v>
      </c>
      <c r="AK8" s="4">
        <v>0.04</v>
      </c>
      <c r="AL8" s="72"/>
      <c r="AM8" s="4"/>
      <c r="AN8" s="584">
        <v>12</v>
      </c>
      <c r="AO8" s="580">
        <v>43</v>
      </c>
      <c r="AP8" s="579">
        <v>6.1</v>
      </c>
      <c r="AQ8" s="67">
        <v>6.29</v>
      </c>
      <c r="AR8" s="68">
        <v>0.02</v>
      </c>
      <c r="AS8" s="69">
        <v>1.18</v>
      </c>
      <c r="AT8" s="243">
        <v>21.57</v>
      </c>
      <c r="AU8" s="589">
        <v>26.71</v>
      </c>
      <c r="AV8" s="231">
        <f t="shared" si="0"/>
        <v>816.46</v>
      </c>
      <c r="AW8" s="588">
        <f t="shared" si="1"/>
        <v>1197.08</v>
      </c>
      <c r="AX8" s="68">
        <v>2.45</v>
      </c>
      <c r="AY8" s="234">
        <v>15.06</v>
      </c>
      <c r="AZ8" s="56">
        <f t="shared" si="2"/>
        <v>818.9100000000001</v>
      </c>
      <c r="BA8" s="64">
        <f t="shared" si="3"/>
        <v>1212.1399999999999</v>
      </c>
    </row>
    <row r="9" spans="1:53" s="65" customFormat="1" ht="13.5">
      <c r="A9" s="73" t="s">
        <v>7</v>
      </c>
      <c r="B9" s="19"/>
      <c r="C9" s="236"/>
      <c r="D9" s="3"/>
      <c r="E9" s="5"/>
      <c r="F9" s="3"/>
      <c r="G9" s="234"/>
      <c r="H9" s="3">
        <v>18</v>
      </c>
      <c r="I9" s="236">
        <v>32</v>
      </c>
      <c r="J9" s="243"/>
      <c r="K9" s="252"/>
      <c r="L9" s="19"/>
      <c r="M9" s="4"/>
      <c r="N9" s="3">
        <v>33.96</v>
      </c>
      <c r="O9" s="4">
        <v>1.78</v>
      </c>
      <c r="P9" s="3"/>
      <c r="Q9" s="4"/>
      <c r="R9" s="3"/>
      <c r="S9" s="4"/>
      <c r="T9" s="234"/>
      <c r="U9" s="234"/>
      <c r="V9" s="3">
        <v>7.07</v>
      </c>
      <c r="W9" s="4">
        <v>9.81</v>
      </c>
      <c r="X9" s="3"/>
      <c r="Y9" s="234"/>
      <c r="Z9" s="58"/>
      <c r="AA9" s="59"/>
      <c r="AB9" s="243"/>
      <c r="AC9" s="251"/>
      <c r="AD9" s="19">
        <v>27.58</v>
      </c>
      <c r="AE9" s="234">
        <v>45.04</v>
      </c>
      <c r="AF9" s="3"/>
      <c r="AG9" s="234"/>
      <c r="AH9" s="19"/>
      <c r="AI9" s="4"/>
      <c r="AJ9" s="3"/>
      <c r="AK9" s="4"/>
      <c r="AL9" s="72"/>
      <c r="AM9" s="4"/>
      <c r="AN9" s="585"/>
      <c r="AO9" s="580"/>
      <c r="AP9" s="579"/>
      <c r="AQ9" s="67"/>
      <c r="AR9" s="68"/>
      <c r="AS9" s="69"/>
      <c r="AT9" s="243"/>
      <c r="AU9" s="589"/>
      <c r="AV9" s="231">
        <f t="shared" si="0"/>
        <v>86.61</v>
      </c>
      <c r="AW9" s="588">
        <f t="shared" si="1"/>
        <v>88.63</v>
      </c>
      <c r="AX9" s="68"/>
      <c r="AY9" s="234"/>
      <c r="AZ9" s="56">
        <f t="shared" si="2"/>
        <v>86.61</v>
      </c>
      <c r="BA9" s="64">
        <f t="shared" si="3"/>
        <v>88.63</v>
      </c>
    </row>
    <row r="10" spans="1:53" s="65" customFormat="1" ht="13.5">
      <c r="A10" s="73" t="s">
        <v>8</v>
      </c>
      <c r="B10" s="19">
        <v>367.93</v>
      </c>
      <c r="C10" s="236">
        <v>1475.79</v>
      </c>
      <c r="D10" s="3">
        <v>2.14</v>
      </c>
      <c r="E10" s="5">
        <v>6.06</v>
      </c>
      <c r="F10" s="3"/>
      <c r="G10" s="234"/>
      <c r="H10" s="3">
        <v>794</v>
      </c>
      <c r="I10" s="236">
        <v>1701</v>
      </c>
      <c r="J10" s="243">
        <v>33.57</v>
      </c>
      <c r="K10" s="252">
        <v>78.13</v>
      </c>
      <c r="L10" s="19">
        <v>223.3</v>
      </c>
      <c r="M10" s="4">
        <v>531.97</v>
      </c>
      <c r="N10" s="3">
        <v>5.3</v>
      </c>
      <c r="O10" s="4">
        <v>12.67</v>
      </c>
      <c r="P10" s="3">
        <v>4.11</v>
      </c>
      <c r="Q10" s="4">
        <v>8.03</v>
      </c>
      <c r="R10" s="3">
        <v>3.74</v>
      </c>
      <c r="S10" s="4">
        <v>11.16</v>
      </c>
      <c r="T10" s="234">
        <v>18.66</v>
      </c>
      <c r="U10" s="234">
        <v>36.15</v>
      </c>
      <c r="V10" s="3">
        <v>1659.84</v>
      </c>
      <c r="W10" s="4">
        <v>5050.7</v>
      </c>
      <c r="X10" s="3">
        <v>1162</v>
      </c>
      <c r="Y10" s="234">
        <v>2771</v>
      </c>
      <c r="Z10" s="58">
        <v>2.74</v>
      </c>
      <c r="AA10" s="59">
        <v>6.15</v>
      </c>
      <c r="AB10" s="243">
        <v>220.72</v>
      </c>
      <c r="AC10" s="251">
        <v>698.38</v>
      </c>
      <c r="AD10" s="70">
        <v>402.63</v>
      </c>
      <c r="AE10" s="234">
        <v>981.6</v>
      </c>
      <c r="AF10" s="3">
        <v>22.6</v>
      </c>
      <c r="AG10" s="234">
        <v>51.67</v>
      </c>
      <c r="AH10" s="19">
        <v>20.03</v>
      </c>
      <c r="AI10" s="4">
        <v>32.44</v>
      </c>
      <c r="AJ10" s="3">
        <v>77.37</v>
      </c>
      <c r="AK10" s="4">
        <v>91.89</v>
      </c>
      <c r="AL10" s="72"/>
      <c r="AM10" s="4"/>
      <c r="AN10" s="584">
        <v>710</v>
      </c>
      <c r="AO10" s="580">
        <v>3797</v>
      </c>
      <c r="AP10" s="579">
        <v>96.16</v>
      </c>
      <c r="AQ10" s="67">
        <v>122.81</v>
      </c>
      <c r="AR10" s="68">
        <v>0.47</v>
      </c>
      <c r="AS10" s="69">
        <v>1.16</v>
      </c>
      <c r="AT10" s="243">
        <v>23.23</v>
      </c>
      <c r="AU10" s="589">
        <v>65.74</v>
      </c>
      <c r="AV10" s="231">
        <f t="shared" si="0"/>
        <v>5978.63</v>
      </c>
      <c r="AW10" s="588">
        <f t="shared" si="1"/>
        <v>18251.200000000004</v>
      </c>
      <c r="AX10" s="3">
        <v>27007.4</v>
      </c>
      <c r="AY10" s="234">
        <v>87447.57</v>
      </c>
      <c r="AZ10" s="56">
        <f t="shared" si="2"/>
        <v>32986.03</v>
      </c>
      <c r="BA10" s="64">
        <f t="shared" si="3"/>
        <v>105698.77000000002</v>
      </c>
    </row>
    <row r="11" spans="1:53" s="65" customFormat="1" ht="14.25" thickBot="1">
      <c r="A11" s="73" t="s">
        <v>233</v>
      </c>
      <c r="B11" s="56"/>
      <c r="C11" s="728"/>
      <c r="D11" s="3"/>
      <c r="E11" s="5"/>
      <c r="F11" s="3"/>
      <c r="G11" s="4"/>
      <c r="H11" s="3"/>
      <c r="I11" s="66"/>
      <c r="J11" s="3"/>
      <c r="K11" s="5"/>
      <c r="L11" s="19"/>
      <c r="M11" s="4"/>
      <c r="N11" s="3"/>
      <c r="O11" s="4"/>
      <c r="P11" s="3"/>
      <c r="Q11" s="4"/>
      <c r="R11" s="3"/>
      <c r="S11" s="4"/>
      <c r="T11" s="19"/>
      <c r="U11" s="4"/>
      <c r="V11" s="3"/>
      <c r="W11" s="4"/>
      <c r="X11" s="3">
        <v>2</v>
      </c>
      <c r="Y11" s="4">
        <v>2</v>
      </c>
      <c r="Z11" s="58"/>
      <c r="AA11" s="59"/>
      <c r="AB11" s="243"/>
      <c r="AC11" s="251"/>
      <c r="AD11" s="70"/>
      <c r="AE11" s="71"/>
      <c r="AF11" s="3"/>
      <c r="AG11" s="4"/>
      <c r="AH11" s="3"/>
      <c r="AI11" s="234"/>
      <c r="AJ11" s="3"/>
      <c r="AK11" s="4"/>
      <c r="AL11" s="72"/>
      <c r="AM11" s="4"/>
      <c r="AN11" s="586"/>
      <c r="AO11" s="587"/>
      <c r="AP11" s="579"/>
      <c r="AQ11" s="67"/>
      <c r="AR11" s="68"/>
      <c r="AS11" s="69"/>
      <c r="AT11" s="3"/>
      <c r="AU11" s="4"/>
      <c r="AV11" s="231">
        <f t="shared" si="0"/>
        <v>2</v>
      </c>
      <c r="AW11" s="588">
        <f t="shared" si="1"/>
        <v>2</v>
      </c>
      <c r="AX11" s="3"/>
      <c r="AY11" s="4"/>
      <c r="AZ11" s="56">
        <f t="shared" si="2"/>
        <v>2</v>
      </c>
      <c r="BA11" s="64">
        <f t="shared" si="3"/>
        <v>2</v>
      </c>
    </row>
    <row r="12" spans="1:53" s="296" customFormat="1" ht="13.5">
      <c r="A12" s="285" t="s">
        <v>10</v>
      </c>
      <c r="B12" s="288">
        <f>SUM(B5:B11)</f>
        <v>681.81</v>
      </c>
      <c r="C12" s="291">
        <f aca="true" t="shared" si="4" ref="C12:Q12">SUM(C5:C11)</f>
        <v>1890.52</v>
      </c>
      <c r="D12" s="288">
        <f t="shared" si="4"/>
        <v>7.790000000000001</v>
      </c>
      <c r="E12" s="290">
        <f t="shared" si="4"/>
        <v>15.620000000000001</v>
      </c>
      <c r="F12" s="288">
        <f t="shared" si="4"/>
        <v>0</v>
      </c>
      <c r="G12" s="289">
        <f t="shared" si="4"/>
        <v>0</v>
      </c>
      <c r="H12" s="288">
        <f t="shared" si="4"/>
        <v>1084</v>
      </c>
      <c r="I12" s="291">
        <f t="shared" si="4"/>
        <v>2311</v>
      </c>
      <c r="J12" s="288">
        <f t="shared" si="4"/>
        <v>36.15</v>
      </c>
      <c r="K12" s="293">
        <f t="shared" si="4"/>
        <v>85.46</v>
      </c>
      <c r="L12" s="289">
        <f t="shared" si="4"/>
        <v>255.24</v>
      </c>
      <c r="M12" s="289">
        <f t="shared" si="4"/>
        <v>721.85</v>
      </c>
      <c r="N12" s="288">
        <f t="shared" si="4"/>
        <v>67.93</v>
      </c>
      <c r="O12" s="292">
        <f t="shared" si="4"/>
        <v>69.9862</v>
      </c>
      <c r="P12" s="288">
        <f t="shared" si="4"/>
        <v>6.37</v>
      </c>
      <c r="Q12" s="289">
        <f t="shared" si="4"/>
        <v>13.649999999999999</v>
      </c>
      <c r="R12" s="288">
        <f aca="true" t="shared" si="5" ref="R12:AG12">SUM(R5:R11)</f>
        <v>22.79</v>
      </c>
      <c r="S12" s="292">
        <f t="shared" si="5"/>
        <v>48.5</v>
      </c>
      <c r="T12" s="289">
        <f t="shared" si="5"/>
        <v>51.41</v>
      </c>
      <c r="U12" s="289">
        <f t="shared" si="5"/>
        <v>84.49000000000001</v>
      </c>
      <c r="V12" s="288">
        <f t="shared" si="5"/>
        <v>2473.83</v>
      </c>
      <c r="W12" s="289">
        <f t="shared" si="5"/>
        <v>6804.13</v>
      </c>
      <c r="X12" s="288">
        <f t="shared" si="5"/>
        <v>1509</v>
      </c>
      <c r="Y12" s="289">
        <f t="shared" si="5"/>
        <v>3415</v>
      </c>
      <c r="Z12" s="288">
        <f t="shared" si="5"/>
        <v>23.589999999999996</v>
      </c>
      <c r="AA12" s="289">
        <f t="shared" si="5"/>
        <v>51.199999999999996</v>
      </c>
      <c r="AB12" s="288">
        <f t="shared" si="5"/>
        <v>273.76</v>
      </c>
      <c r="AC12" s="292">
        <f t="shared" si="5"/>
        <v>819</v>
      </c>
      <c r="AD12" s="289">
        <f t="shared" si="5"/>
        <v>552.3</v>
      </c>
      <c r="AE12" s="289">
        <f t="shared" si="5"/>
        <v>1259.5700000000002</v>
      </c>
      <c r="AF12" s="288">
        <f t="shared" si="5"/>
        <v>168.37</v>
      </c>
      <c r="AG12" s="289">
        <f t="shared" si="5"/>
        <v>325.96</v>
      </c>
      <c r="AH12" s="288">
        <f>SUM(AH5:AH11)</f>
        <v>123.7</v>
      </c>
      <c r="AI12" s="289">
        <f>SUM(AI5:AI11)</f>
        <v>238.03</v>
      </c>
      <c r="AJ12" s="288">
        <f aca="true" t="shared" si="6" ref="AJ12:AU12">SUM(AJ5:AJ11)</f>
        <v>77.38000000000001</v>
      </c>
      <c r="AK12" s="289">
        <f t="shared" si="6"/>
        <v>91.93</v>
      </c>
      <c r="AL12" s="288">
        <f t="shared" si="6"/>
        <v>0</v>
      </c>
      <c r="AM12" s="289">
        <f t="shared" si="6"/>
        <v>0</v>
      </c>
      <c r="AN12" s="294">
        <f t="shared" si="6"/>
        <v>1517</v>
      </c>
      <c r="AO12" s="581">
        <f t="shared" si="6"/>
        <v>6308</v>
      </c>
      <c r="AP12" s="288">
        <f t="shared" si="6"/>
        <v>126.75</v>
      </c>
      <c r="AQ12" s="289">
        <f t="shared" si="6"/>
        <v>170.79</v>
      </c>
      <c r="AR12" s="288">
        <f t="shared" si="6"/>
        <v>71.53</v>
      </c>
      <c r="AS12" s="289">
        <f t="shared" si="6"/>
        <v>176.48000000000002</v>
      </c>
      <c r="AT12" s="288">
        <f t="shared" si="6"/>
        <v>46.42</v>
      </c>
      <c r="AU12" s="292">
        <f t="shared" si="6"/>
        <v>94.99</v>
      </c>
      <c r="AV12" s="231">
        <f t="shared" si="0"/>
        <v>9545.119999999999</v>
      </c>
      <c r="AW12" s="588">
        <f t="shared" si="1"/>
        <v>25986.3362</v>
      </c>
      <c r="AX12" s="295">
        <f>SUM(AX5:AX11)</f>
        <v>27390.36</v>
      </c>
      <c r="AY12" s="295">
        <f>SUM(AY5:AY11)</f>
        <v>89502.63</v>
      </c>
      <c r="AZ12" s="288">
        <f t="shared" si="2"/>
        <v>36935.479999999996</v>
      </c>
      <c r="BA12" s="293">
        <f t="shared" si="3"/>
        <v>115488.96620000001</v>
      </c>
    </row>
    <row r="13" spans="1:53" s="65" customFormat="1" ht="14.25" thickBot="1">
      <c r="A13" s="73" t="s">
        <v>11</v>
      </c>
      <c r="B13" s="639"/>
      <c r="C13" s="729"/>
      <c r="D13" s="643"/>
      <c r="E13" s="644"/>
      <c r="F13" s="643"/>
      <c r="G13" s="641"/>
      <c r="H13" s="643"/>
      <c r="I13" s="642"/>
      <c r="J13" s="690"/>
      <c r="K13" s="694"/>
      <c r="L13" s="640"/>
      <c r="M13" s="641"/>
      <c r="N13" s="643"/>
      <c r="O13" s="641"/>
      <c r="P13" s="643"/>
      <c r="Q13" s="641"/>
      <c r="R13" s="698"/>
      <c r="S13" s="699"/>
      <c r="T13" s="647"/>
      <c r="U13" s="646"/>
      <c r="V13" s="645"/>
      <c r="W13" s="646"/>
      <c r="X13" s="645"/>
      <c r="Y13" s="646"/>
      <c r="Z13" s="645"/>
      <c r="AA13" s="646"/>
      <c r="AB13" s="648"/>
      <c r="AC13" s="649"/>
      <c r="AD13" s="640"/>
      <c r="AE13" s="641"/>
      <c r="AF13" s="643"/>
      <c r="AG13" s="641"/>
      <c r="AH13" s="643"/>
      <c r="AI13" s="641"/>
      <c r="AJ13" s="643"/>
      <c r="AK13" s="641"/>
      <c r="AL13" s="650"/>
      <c r="AM13" s="641"/>
      <c r="AN13" s="448"/>
      <c r="AO13" s="60"/>
      <c r="AP13" s="651"/>
      <c r="AQ13" s="652"/>
      <c r="AR13" s="653"/>
      <c r="AS13" s="654"/>
      <c r="AT13" s="643"/>
      <c r="AU13" s="641"/>
      <c r="AV13" s="700">
        <f t="shared" si="0"/>
        <v>0</v>
      </c>
      <c r="AW13" s="655">
        <f t="shared" si="1"/>
        <v>0</v>
      </c>
      <c r="AX13" s="653"/>
      <c r="AY13" s="654"/>
      <c r="AZ13" s="656">
        <f t="shared" si="2"/>
        <v>0</v>
      </c>
      <c r="BA13" s="657">
        <f t="shared" si="3"/>
        <v>0</v>
      </c>
    </row>
    <row r="14" spans="1:53" s="296" customFormat="1" ht="14.25" thickBot="1">
      <c r="A14" s="503" t="s">
        <v>12</v>
      </c>
      <c r="B14" s="311">
        <f>B12+B13</f>
        <v>681.81</v>
      </c>
      <c r="C14" s="310">
        <f aca="true" t="shared" si="7" ref="C14:AH14">C12+C13</f>
        <v>1890.52</v>
      </c>
      <c r="D14" s="311">
        <f t="shared" si="7"/>
        <v>7.790000000000001</v>
      </c>
      <c r="E14" s="312">
        <f t="shared" si="7"/>
        <v>15.620000000000001</v>
      </c>
      <c r="F14" s="311">
        <f t="shared" si="7"/>
        <v>0</v>
      </c>
      <c r="G14" s="309">
        <f t="shared" si="7"/>
        <v>0</v>
      </c>
      <c r="H14" s="311">
        <f t="shared" si="7"/>
        <v>1084</v>
      </c>
      <c r="I14" s="310">
        <f t="shared" si="7"/>
        <v>2311</v>
      </c>
      <c r="J14" s="695">
        <f t="shared" si="7"/>
        <v>36.15</v>
      </c>
      <c r="K14" s="730">
        <f t="shared" si="7"/>
        <v>85.46</v>
      </c>
      <c r="L14" s="309">
        <f t="shared" si="7"/>
        <v>255.24</v>
      </c>
      <c r="M14" s="309">
        <f t="shared" si="7"/>
        <v>721.85</v>
      </c>
      <c r="N14" s="311">
        <f t="shared" si="7"/>
        <v>67.93</v>
      </c>
      <c r="O14" s="658">
        <f t="shared" si="7"/>
        <v>69.9862</v>
      </c>
      <c r="P14" s="311">
        <f>P12+P13</f>
        <v>6.37</v>
      </c>
      <c r="Q14" s="309">
        <f>Q12+Q13</f>
        <v>13.649999999999999</v>
      </c>
      <c r="R14" s="695">
        <f t="shared" si="7"/>
        <v>22.79</v>
      </c>
      <c r="S14" s="696">
        <f t="shared" si="7"/>
        <v>48.5</v>
      </c>
      <c r="T14" s="309">
        <f t="shared" si="7"/>
        <v>51.41</v>
      </c>
      <c r="U14" s="309">
        <f t="shared" si="7"/>
        <v>84.49000000000001</v>
      </c>
      <c r="V14" s="311">
        <f t="shared" si="7"/>
        <v>2473.83</v>
      </c>
      <c r="W14" s="309">
        <f t="shared" si="7"/>
        <v>6804.13</v>
      </c>
      <c r="X14" s="311">
        <f t="shared" si="7"/>
        <v>1509</v>
      </c>
      <c r="Y14" s="309">
        <f t="shared" si="7"/>
        <v>3415</v>
      </c>
      <c r="Z14" s="311">
        <f t="shared" si="7"/>
        <v>23.589999999999996</v>
      </c>
      <c r="AA14" s="309">
        <f t="shared" si="7"/>
        <v>51.199999999999996</v>
      </c>
      <c r="AB14" s="311">
        <f t="shared" si="7"/>
        <v>273.76</v>
      </c>
      <c r="AC14" s="658">
        <f t="shared" si="7"/>
        <v>819</v>
      </c>
      <c r="AD14" s="309">
        <f t="shared" si="7"/>
        <v>552.3</v>
      </c>
      <c r="AE14" s="309">
        <f t="shared" si="7"/>
        <v>1259.5700000000002</v>
      </c>
      <c r="AF14" s="311">
        <f t="shared" si="7"/>
        <v>168.37</v>
      </c>
      <c r="AG14" s="309">
        <f t="shared" si="7"/>
        <v>325.96</v>
      </c>
      <c r="AH14" s="311">
        <f t="shared" si="7"/>
        <v>123.7</v>
      </c>
      <c r="AI14" s="309">
        <f aca="true" t="shared" si="8" ref="AI14:AU14">AI12+AI13</f>
        <v>238.03</v>
      </c>
      <c r="AJ14" s="311">
        <f t="shared" si="8"/>
        <v>77.38000000000001</v>
      </c>
      <c r="AK14" s="309">
        <f t="shared" si="8"/>
        <v>91.93</v>
      </c>
      <c r="AL14" s="311">
        <f t="shared" si="8"/>
        <v>0</v>
      </c>
      <c r="AM14" s="309">
        <f t="shared" si="8"/>
        <v>0</v>
      </c>
      <c r="AN14" s="311">
        <f t="shared" si="8"/>
        <v>1517</v>
      </c>
      <c r="AO14" s="309">
        <f t="shared" si="8"/>
        <v>6308</v>
      </c>
      <c r="AP14" s="311">
        <f t="shared" si="8"/>
        <v>126.75</v>
      </c>
      <c r="AQ14" s="309">
        <f t="shared" si="8"/>
        <v>170.79</v>
      </c>
      <c r="AR14" s="311">
        <f t="shared" si="8"/>
        <v>71.53</v>
      </c>
      <c r="AS14" s="309">
        <f t="shared" si="8"/>
        <v>176.48000000000002</v>
      </c>
      <c r="AT14" s="311">
        <f t="shared" si="8"/>
        <v>46.42</v>
      </c>
      <c r="AU14" s="658">
        <f t="shared" si="8"/>
        <v>94.99</v>
      </c>
      <c r="AV14" s="701">
        <f t="shared" si="0"/>
        <v>9545.119999999999</v>
      </c>
      <c r="AW14" s="660">
        <f t="shared" si="1"/>
        <v>25986.3362</v>
      </c>
      <c r="AX14" s="661">
        <f>AX12+AX13</f>
        <v>27390.36</v>
      </c>
      <c r="AY14" s="661">
        <f>AY12+AY13</f>
        <v>89502.63</v>
      </c>
      <c r="AZ14" s="311">
        <f t="shared" si="2"/>
        <v>36935.479999999996</v>
      </c>
      <c r="BA14" s="659">
        <f t="shared" si="3"/>
        <v>115488.96620000001</v>
      </c>
    </row>
    <row r="17" ht="13.5">
      <c r="A17" s="776"/>
    </row>
  </sheetData>
  <sheetProtection/>
  <mergeCells count="29">
    <mergeCell ref="J3:K3"/>
    <mergeCell ref="L3:M3"/>
    <mergeCell ref="N3:O3"/>
    <mergeCell ref="AB3:AC3"/>
    <mergeCell ref="AD3:AE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  <mergeCell ref="AL3:AM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4"/>
  <sheetViews>
    <sheetView zoomScalePageLayoutView="0" workbookViewId="0" topLeftCell="A1">
      <pane xSplit="1" topLeftCell="Q1" activePane="topRight" state="frozen"/>
      <selection pane="topLeft" activeCell="A1" sqref="A1"/>
      <selection pane="topRight" activeCell="F19" sqref="F19"/>
    </sheetView>
  </sheetViews>
  <sheetFormatPr defaultColWidth="9.140625" defaultRowHeight="15"/>
  <cols>
    <col min="1" max="1" width="23.7109375" style="6" bestFit="1" customWidth="1"/>
    <col min="2" max="2" width="13.8515625" style="6" bestFit="1" customWidth="1"/>
    <col min="3" max="3" width="15.00390625" style="6" bestFit="1" customWidth="1"/>
    <col min="4" max="4" width="13.8515625" style="6" bestFit="1" customWidth="1"/>
    <col min="5" max="5" width="15.00390625" style="6" bestFit="1" customWidth="1"/>
    <col min="6" max="6" width="13.8515625" style="6" bestFit="1" customWidth="1"/>
    <col min="7" max="7" width="15.00390625" style="6" bestFit="1" customWidth="1"/>
    <col min="8" max="8" width="13.8515625" style="6" bestFit="1" customWidth="1"/>
    <col min="9" max="9" width="15.00390625" style="6" bestFit="1" customWidth="1"/>
    <col min="10" max="10" width="13.8515625" style="6" bestFit="1" customWidth="1"/>
    <col min="11" max="11" width="15.00390625" style="6" bestFit="1" customWidth="1"/>
    <col min="12" max="12" width="13.8515625" style="6" bestFit="1" customWidth="1"/>
    <col min="13" max="13" width="15.00390625" style="6" bestFit="1" customWidth="1"/>
    <col min="14" max="14" width="13.8515625" style="6" bestFit="1" customWidth="1"/>
    <col min="15" max="15" width="15.00390625" style="6" bestFit="1" customWidth="1"/>
    <col min="16" max="16" width="13.8515625" style="21" bestFit="1" customWidth="1"/>
    <col min="17" max="17" width="15.00390625" style="21" bestFit="1" customWidth="1"/>
    <col min="18" max="18" width="13.8515625" style="6" bestFit="1" customWidth="1"/>
    <col min="19" max="19" width="15.00390625" style="6" bestFit="1" customWidth="1"/>
    <col min="20" max="20" width="13.8515625" style="6" bestFit="1" customWidth="1"/>
    <col min="21" max="21" width="15.00390625" style="6" bestFit="1" customWidth="1"/>
    <col min="22" max="22" width="13.8515625" style="6" bestFit="1" customWidth="1"/>
    <col min="23" max="23" width="15.00390625" style="6" bestFit="1" customWidth="1"/>
    <col min="24" max="24" width="13.8515625" style="6" bestFit="1" customWidth="1"/>
    <col min="25" max="25" width="15.00390625" style="6" bestFit="1" customWidth="1"/>
    <col min="26" max="26" width="13.8515625" style="21" bestFit="1" customWidth="1"/>
    <col min="27" max="27" width="15.00390625" style="21" bestFit="1" customWidth="1"/>
    <col min="28" max="28" width="13.8515625" style="6" bestFit="1" customWidth="1"/>
    <col min="29" max="29" width="15.00390625" style="6" bestFit="1" customWidth="1"/>
    <col min="30" max="30" width="13.8515625" style="6" bestFit="1" customWidth="1"/>
    <col min="31" max="31" width="15.00390625" style="6" bestFit="1" customWidth="1"/>
    <col min="32" max="32" width="13.8515625" style="6" bestFit="1" customWidth="1"/>
    <col min="33" max="33" width="15.00390625" style="6" bestFit="1" customWidth="1"/>
    <col min="34" max="34" width="13.8515625" style="6" bestFit="1" customWidth="1"/>
    <col min="35" max="35" width="15.00390625" style="6" bestFit="1" customWidth="1"/>
    <col min="36" max="36" width="13.8515625" style="6" bestFit="1" customWidth="1"/>
    <col min="37" max="37" width="15.00390625" style="6" bestFit="1" customWidth="1"/>
    <col min="38" max="38" width="13.8515625" style="6" bestFit="1" customWidth="1"/>
    <col min="39" max="39" width="15.00390625" style="6" bestFit="1" customWidth="1"/>
    <col min="40" max="40" width="13.8515625" style="6" bestFit="1" customWidth="1"/>
    <col min="41" max="41" width="15.00390625" style="6" bestFit="1" customWidth="1"/>
    <col min="42" max="42" width="13.8515625" style="6" bestFit="1" customWidth="1"/>
    <col min="43" max="43" width="15.00390625" style="6" bestFit="1" customWidth="1"/>
    <col min="44" max="44" width="13.8515625" style="6" bestFit="1" customWidth="1"/>
    <col min="45" max="45" width="15.00390625" style="6" bestFit="1" customWidth="1"/>
    <col min="46" max="46" width="13.8515625" style="6" bestFit="1" customWidth="1"/>
    <col min="47" max="47" width="15.00390625" style="6" bestFit="1" customWidth="1"/>
    <col min="48" max="48" width="13.8515625" style="6" bestFit="1" customWidth="1"/>
    <col min="49" max="49" width="15.00390625" style="6" bestFit="1" customWidth="1"/>
    <col min="50" max="50" width="13.8515625" style="6" bestFit="1" customWidth="1"/>
    <col min="51" max="51" width="15.00390625" style="6" bestFit="1" customWidth="1"/>
    <col min="52" max="52" width="13.8515625" style="6" bestFit="1" customWidth="1"/>
    <col min="53" max="53" width="15.00390625" style="6" bestFit="1" customWidth="1"/>
    <col min="54" max="16384" width="9.140625" style="6" customWidth="1"/>
  </cols>
  <sheetData>
    <row r="1" spans="1:52" ht="14.25">
      <c r="A1" s="1050" t="s">
        <v>13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  <c r="AK1" s="1050"/>
      <c r="AL1" s="1050"/>
      <c r="AM1" s="1050"/>
      <c r="AN1" s="1050"/>
      <c r="AO1" s="1050"/>
      <c r="AP1" s="1050"/>
      <c r="AQ1" s="1050"/>
      <c r="AR1" s="1050"/>
      <c r="AS1" s="1050"/>
      <c r="AT1" s="1050"/>
      <c r="AU1" s="1050"/>
      <c r="AV1" s="1050"/>
      <c r="AW1" s="1050"/>
      <c r="AX1" s="1050"/>
      <c r="AY1" s="1050"/>
      <c r="AZ1" s="1050"/>
    </row>
    <row r="2" spans="1:52" ht="15" thickBot="1">
      <c r="A2" s="1033"/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1033"/>
      <c r="V2" s="1033"/>
      <c r="W2" s="1033"/>
      <c r="X2" s="1033"/>
      <c r="Y2" s="1033"/>
      <c r="Z2" s="1033"/>
      <c r="AA2" s="1033"/>
      <c r="AB2" s="1033"/>
      <c r="AC2" s="1033"/>
      <c r="AD2" s="1033"/>
      <c r="AE2" s="1033"/>
      <c r="AF2" s="1033"/>
      <c r="AG2" s="1033"/>
      <c r="AH2" s="1033"/>
      <c r="AI2" s="1033"/>
      <c r="AJ2" s="1033"/>
      <c r="AK2" s="1033"/>
      <c r="AL2" s="1033"/>
      <c r="AM2" s="1033"/>
      <c r="AN2" s="1033"/>
      <c r="AO2" s="1033"/>
      <c r="AP2" s="1033"/>
      <c r="AQ2" s="1033"/>
      <c r="AR2" s="1033"/>
      <c r="AS2" s="1033"/>
      <c r="AT2" s="1033"/>
      <c r="AU2" s="1033"/>
      <c r="AV2" s="1033"/>
      <c r="AW2" s="1033"/>
      <c r="AX2" s="1033"/>
      <c r="AY2" s="1033"/>
      <c r="AZ2" s="1033"/>
    </row>
    <row r="3" spans="1:53" ht="27" customHeight="1" thickBot="1">
      <c r="A3" s="1052" t="s">
        <v>0</v>
      </c>
      <c r="B3" s="1071" t="s">
        <v>116</v>
      </c>
      <c r="C3" s="1072"/>
      <c r="D3" s="1073" t="s">
        <v>117</v>
      </c>
      <c r="E3" s="1073"/>
      <c r="F3" s="1074" t="s">
        <v>118</v>
      </c>
      <c r="G3" s="1073"/>
      <c r="H3" s="1061" t="s">
        <v>119</v>
      </c>
      <c r="I3" s="1067"/>
      <c r="J3" s="1061" t="s">
        <v>120</v>
      </c>
      <c r="K3" s="1067"/>
      <c r="L3" s="1061" t="s">
        <v>121</v>
      </c>
      <c r="M3" s="1067"/>
      <c r="N3" s="1061" t="s">
        <v>226</v>
      </c>
      <c r="O3" s="1067"/>
      <c r="P3" s="1075" t="s">
        <v>122</v>
      </c>
      <c r="Q3" s="1076"/>
      <c r="R3" s="1061" t="s">
        <v>123</v>
      </c>
      <c r="S3" s="1062"/>
      <c r="T3" s="1065" t="s">
        <v>124</v>
      </c>
      <c r="U3" s="1066"/>
      <c r="V3" s="1061" t="s">
        <v>125</v>
      </c>
      <c r="W3" s="1062"/>
      <c r="X3" s="1061" t="s">
        <v>126</v>
      </c>
      <c r="Y3" s="1062"/>
      <c r="Z3" s="1077" t="s">
        <v>234</v>
      </c>
      <c r="AA3" s="1076"/>
      <c r="AB3" s="1061" t="s">
        <v>127</v>
      </c>
      <c r="AC3" s="1066"/>
      <c r="AD3" s="1068" t="s">
        <v>128</v>
      </c>
      <c r="AE3" s="1069"/>
      <c r="AF3" s="1061" t="s">
        <v>129</v>
      </c>
      <c r="AG3" s="1062"/>
      <c r="AH3" s="1061" t="s">
        <v>130</v>
      </c>
      <c r="AI3" s="1062"/>
      <c r="AJ3" s="1061" t="s">
        <v>131</v>
      </c>
      <c r="AK3" s="1062"/>
      <c r="AL3" s="1063" t="s">
        <v>132</v>
      </c>
      <c r="AM3" s="1070"/>
      <c r="AN3" s="1061" t="s">
        <v>133</v>
      </c>
      <c r="AO3" s="1062"/>
      <c r="AP3" s="1065" t="s">
        <v>134</v>
      </c>
      <c r="AQ3" s="1066"/>
      <c r="AR3" s="1061" t="s">
        <v>135</v>
      </c>
      <c r="AS3" s="1062"/>
      <c r="AT3" s="1065" t="s">
        <v>136</v>
      </c>
      <c r="AU3" s="1067"/>
      <c r="AV3" s="1061" t="s">
        <v>1</v>
      </c>
      <c r="AW3" s="1066"/>
      <c r="AX3" s="1068" t="s">
        <v>137</v>
      </c>
      <c r="AY3" s="1069"/>
      <c r="AZ3" s="1063" t="s">
        <v>2</v>
      </c>
      <c r="BA3" s="1064"/>
    </row>
    <row r="4" spans="1:53" s="286" customFormat="1" ht="15" thickBot="1">
      <c r="A4" s="1053"/>
      <c r="B4" s="361" t="s">
        <v>230</v>
      </c>
      <c r="C4" s="362" t="s">
        <v>231</v>
      </c>
      <c r="D4" s="361" t="s">
        <v>230</v>
      </c>
      <c r="E4" s="362" t="s">
        <v>231</v>
      </c>
      <c r="F4" s="361" t="s">
        <v>230</v>
      </c>
      <c r="G4" s="362" t="s">
        <v>231</v>
      </c>
      <c r="H4" s="361" t="s">
        <v>230</v>
      </c>
      <c r="I4" s="362" t="s">
        <v>231</v>
      </c>
      <c r="J4" s="361" t="s">
        <v>230</v>
      </c>
      <c r="K4" s="362" t="s">
        <v>231</v>
      </c>
      <c r="L4" s="361" t="s">
        <v>230</v>
      </c>
      <c r="M4" s="362" t="s">
        <v>231</v>
      </c>
      <c r="N4" s="361" t="s">
        <v>230</v>
      </c>
      <c r="O4" s="362" t="s">
        <v>231</v>
      </c>
      <c r="P4" s="361" t="s">
        <v>230</v>
      </c>
      <c r="Q4" s="362" t="s">
        <v>231</v>
      </c>
      <c r="R4" s="361" t="s">
        <v>230</v>
      </c>
      <c r="S4" s="362" t="s">
        <v>231</v>
      </c>
      <c r="T4" s="361" t="s">
        <v>230</v>
      </c>
      <c r="U4" s="362" t="s">
        <v>231</v>
      </c>
      <c r="V4" s="361" t="s">
        <v>230</v>
      </c>
      <c r="W4" s="362" t="s">
        <v>231</v>
      </c>
      <c r="X4" s="361" t="s">
        <v>230</v>
      </c>
      <c r="Y4" s="362" t="s">
        <v>231</v>
      </c>
      <c r="Z4" s="361" t="s">
        <v>230</v>
      </c>
      <c r="AA4" s="362" t="s">
        <v>231</v>
      </c>
      <c r="AB4" s="361" t="s">
        <v>230</v>
      </c>
      <c r="AC4" s="362" t="s">
        <v>231</v>
      </c>
      <c r="AD4" s="361" t="s">
        <v>230</v>
      </c>
      <c r="AE4" s="362" t="s">
        <v>231</v>
      </c>
      <c r="AF4" s="361" t="s">
        <v>230</v>
      </c>
      <c r="AG4" s="362" t="s">
        <v>231</v>
      </c>
      <c r="AH4" s="361" t="s">
        <v>230</v>
      </c>
      <c r="AI4" s="362" t="s">
        <v>231</v>
      </c>
      <c r="AJ4" s="361" t="s">
        <v>230</v>
      </c>
      <c r="AK4" s="362" t="s">
        <v>231</v>
      </c>
      <c r="AL4" s="361" t="s">
        <v>230</v>
      </c>
      <c r="AM4" s="362" t="s">
        <v>231</v>
      </c>
      <c r="AN4" s="361" t="s">
        <v>230</v>
      </c>
      <c r="AO4" s="362" t="s">
        <v>231</v>
      </c>
      <c r="AP4" s="361" t="s">
        <v>230</v>
      </c>
      <c r="AQ4" s="362" t="s">
        <v>231</v>
      </c>
      <c r="AR4" s="361" t="s">
        <v>230</v>
      </c>
      <c r="AS4" s="362" t="s">
        <v>231</v>
      </c>
      <c r="AT4" s="361" t="s">
        <v>230</v>
      </c>
      <c r="AU4" s="362" t="s">
        <v>231</v>
      </c>
      <c r="AV4" s="361" t="s">
        <v>230</v>
      </c>
      <c r="AW4" s="362" t="s">
        <v>231</v>
      </c>
      <c r="AX4" s="361" t="s">
        <v>230</v>
      </c>
      <c r="AY4" s="362" t="s">
        <v>231</v>
      </c>
      <c r="AZ4" s="361" t="s">
        <v>230</v>
      </c>
      <c r="BA4" s="362" t="s">
        <v>231</v>
      </c>
    </row>
    <row r="5" spans="1:53" s="497" customFormat="1" ht="13.5">
      <c r="A5" s="250" t="s">
        <v>3</v>
      </c>
      <c r="B5" s="359">
        <v>1944</v>
      </c>
      <c r="C5" s="358">
        <v>9854</v>
      </c>
      <c r="D5" s="356"/>
      <c r="E5" s="357"/>
      <c r="F5" s="359"/>
      <c r="G5" s="357"/>
      <c r="H5" s="359">
        <v>682</v>
      </c>
      <c r="I5" s="357">
        <v>1902</v>
      </c>
      <c r="J5" s="359"/>
      <c r="K5" s="357"/>
      <c r="L5" s="359"/>
      <c r="M5" s="357"/>
      <c r="N5" s="359">
        <v>31763</v>
      </c>
      <c r="O5" s="357">
        <v>91</v>
      </c>
      <c r="P5" s="359">
        <v>102</v>
      </c>
      <c r="Q5" s="357">
        <v>1471</v>
      </c>
      <c r="R5" s="359"/>
      <c r="S5" s="358"/>
      <c r="T5" s="356">
        <v>255</v>
      </c>
      <c r="U5" s="502">
        <v>627</v>
      </c>
      <c r="V5" s="359">
        <v>51</v>
      </c>
      <c r="W5" s="358">
        <v>806</v>
      </c>
      <c r="X5" s="359">
        <v>9649</v>
      </c>
      <c r="Y5" s="358">
        <v>41953</v>
      </c>
      <c r="Z5" s="356">
        <v>6023</v>
      </c>
      <c r="AA5" s="357">
        <v>6023</v>
      </c>
      <c r="AB5" s="246"/>
      <c r="AC5" s="731"/>
      <c r="AD5" s="359"/>
      <c r="AE5" s="358">
        <v>38</v>
      </c>
      <c r="AF5" s="359">
        <v>1185</v>
      </c>
      <c r="AG5" s="358">
        <v>10188</v>
      </c>
      <c r="AH5" s="359">
        <v>219</v>
      </c>
      <c r="AI5" s="358">
        <v>332</v>
      </c>
      <c r="AJ5" s="359"/>
      <c r="AK5" s="358"/>
      <c r="AL5" s="356"/>
      <c r="AM5" s="502"/>
      <c r="AN5" s="733">
        <v>131728</v>
      </c>
      <c r="AO5" s="496">
        <v>279299</v>
      </c>
      <c r="AP5" s="356"/>
      <c r="AQ5" s="502"/>
      <c r="AR5" s="359"/>
      <c r="AS5" s="358">
        <v>37</v>
      </c>
      <c r="AT5" s="356">
        <v>3658</v>
      </c>
      <c r="AU5" s="357">
        <v>10148</v>
      </c>
      <c r="AV5" s="359">
        <f aca="true" t="shared" si="0" ref="AV5:AV14">SUM(B5+D5+F5+H5+J5+L5+N5+P5+R5+T5+V5+X5+Z5+P5+AD5+AF5+AH5+AJ5+AL5+AN5+AP5+AR5+AT5)</f>
        <v>187361</v>
      </c>
      <c r="AW5" s="684">
        <f aca="true" t="shared" si="1" ref="AW5:AW14">SUM(C5+E5+G5+I5+K5+M5+O5+Q5+S5+U5+W5+Y5+AA5+Q5+AE5+AG5+AI5+AK5+AM5+AO5+AQ5+AS5+AU5)</f>
        <v>364240</v>
      </c>
      <c r="AX5" s="359">
        <v>136435</v>
      </c>
      <c r="AY5" s="358">
        <v>420841</v>
      </c>
      <c r="AZ5" s="356">
        <f aca="true" t="shared" si="2" ref="AZ5:AZ14">AV5+AX5</f>
        <v>323796</v>
      </c>
      <c r="BA5" s="356">
        <f aca="true" t="shared" si="3" ref="BA5:BA14">AW5+AY5</f>
        <v>785081</v>
      </c>
    </row>
    <row r="6" spans="1:53" s="497" customFormat="1" ht="13.5">
      <c r="A6" s="250" t="s">
        <v>4</v>
      </c>
      <c r="B6" s="8">
        <v>1357</v>
      </c>
      <c r="C6" s="358">
        <v>4776</v>
      </c>
      <c r="D6" s="20"/>
      <c r="E6" s="17"/>
      <c r="F6" s="18"/>
      <c r="G6" s="357"/>
      <c r="H6" s="18">
        <v>2455754</v>
      </c>
      <c r="I6" s="357">
        <v>4336348</v>
      </c>
      <c r="J6" s="18">
        <v>7533</v>
      </c>
      <c r="K6" s="17">
        <v>32139</v>
      </c>
      <c r="L6" s="18">
        <v>76069</v>
      </c>
      <c r="M6" s="17">
        <v>4062684</v>
      </c>
      <c r="N6" s="18"/>
      <c r="O6" s="17">
        <v>23</v>
      </c>
      <c r="P6" s="18">
        <v>54233</v>
      </c>
      <c r="Q6" s="357">
        <v>110586</v>
      </c>
      <c r="R6" s="18"/>
      <c r="S6" s="358">
        <v>162</v>
      </c>
      <c r="T6" s="20">
        <v>19051</v>
      </c>
      <c r="U6" s="502">
        <v>24956</v>
      </c>
      <c r="V6" s="18">
        <v>5604721</v>
      </c>
      <c r="W6" s="358">
        <v>10125930</v>
      </c>
      <c r="X6" s="18">
        <v>340345</v>
      </c>
      <c r="Y6" s="358">
        <v>650706</v>
      </c>
      <c r="Z6" s="498">
        <v>3729</v>
      </c>
      <c r="AA6" s="357">
        <v>8277</v>
      </c>
      <c r="AB6" s="18">
        <v>18307</v>
      </c>
      <c r="AC6" s="590">
        <v>79644</v>
      </c>
      <c r="AD6" s="18">
        <v>807645</v>
      </c>
      <c r="AE6" s="358">
        <v>1965261</v>
      </c>
      <c r="AF6" s="18">
        <v>428694</v>
      </c>
      <c r="AG6" s="358">
        <v>1104113</v>
      </c>
      <c r="AH6" s="18">
        <v>312681</v>
      </c>
      <c r="AI6" s="358">
        <v>533122</v>
      </c>
      <c r="AJ6" s="18"/>
      <c r="AK6" s="358"/>
      <c r="AL6" s="499"/>
      <c r="AM6" s="590"/>
      <c r="AN6" s="734">
        <v>283718</v>
      </c>
      <c r="AO6" s="496">
        <v>831022</v>
      </c>
      <c r="AP6" s="500"/>
      <c r="AQ6" s="737"/>
      <c r="AR6" s="740">
        <v>1033410</v>
      </c>
      <c r="AS6" s="358">
        <v>2955053</v>
      </c>
      <c r="AT6" s="20">
        <v>5486</v>
      </c>
      <c r="AU6" s="357">
        <v>5621</v>
      </c>
      <c r="AV6" s="8">
        <f t="shared" si="0"/>
        <v>11488659</v>
      </c>
      <c r="AW6" s="743">
        <f t="shared" si="1"/>
        <v>26861365</v>
      </c>
      <c r="AX6" s="740">
        <v>12571</v>
      </c>
      <c r="AY6" s="358">
        <v>37441</v>
      </c>
      <c r="AZ6" s="9">
        <f t="shared" si="2"/>
        <v>11501230</v>
      </c>
      <c r="BA6" s="9">
        <f t="shared" si="3"/>
        <v>26898806</v>
      </c>
    </row>
    <row r="7" spans="1:53" s="497" customFormat="1" ht="13.5">
      <c r="A7" s="250" t="s">
        <v>5</v>
      </c>
      <c r="B7" s="8">
        <v>178512</v>
      </c>
      <c r="C7" s="358">
        <v>351050</v>
      </c>
      <c r="D7" s="20">
        <v>1455</v>
      </c>
      <c r="E7" s="17">
        <v>15315</v>
      </c>
      <c r="F7" s="18"/>
      <c r="G7" s="357"/>
      <c r="H7" s="18">
        <v>25473</v>
      </c>
      <c r="I7" s="357">
        <v>82273</v>
      </c>
      <c r="J7" s="18">
        <v>68</v>
      </c>
      <c r="K7" s="17">
        <v>87</v>
      </c>
      <c r="L7" s="18">
        <v>2033</v>
      </c>
      <c r="M7" s="17">
        <v>4912</v>
      </c>
      <c r="N7" s="18">
        <v>34413</v>
      </c>
      <c r="O7" s="17">
        <v>720884</v>
      </c>
      <c r="P7" s="18"/>
      <c r="Q7" s="357"/>
      <c r="R7" s="18">
        <v>136</v>
      </c>
      <c r="S7" s="358">
        <v>136</v>
      </c>
      <c r="T7" s="20">
        <v>148</v>
      </c>
      <c r="U7" s="502">
        <v>112</v>
      </c>
      <c r="V7" s="18">
        <v>722943</v>
      </c>
      <c r="W7" s="358">
        <v>1451351</v>
      </c>
      <c r="X7" s="18">
        <v>454833</v>
      </c>
      <c r="Y7" s="358">
        <v>777995</v>
      </c>
      <c r="Z7" s="498"/>
      <c r="AA7" s="357"/>
      <c r="AB7" s="18"/>
      <c r="AC7" s="590"/>
      <c r="AD7" s="18">
        <v>609217</v>
      </c>
      <c r="AE7" s="358">
        <v>1176986</v>
      </c>
      <c r="AF7" s="18">
        <v>3140</v>
      </c>
      <c r="AG7" s="358">
        <v>8522</v>
      </c>
      <c r="AH7" s="18">
        <v>2259</v>
      </c>
      <c r="AI7" s="358">
        <v>4739</v>
      </c>
      <c r="AJ7" s="18"/>
      <c r="AK7" s="358"/>
      <c r="AL7" s="499"/>
      <c r="AM7" s="590"/>
      <c r="AN7" s="734">
        <v>2437</v>
      </c>
      <c r="AO7" s="496">
        <v>7244</v>
      </c>
      <c r="AP7" s="500">
        <v>292046</v>
      </c>
      <c r="AQ7" s="737">
        <v>715243</v>
      </c>
      <c r="AR7" s="740"/>
      <c r="AS7" s="358"/>
      <c r="AT7" s="20"/>
      <c r="AU7" s="357"/>
      <c r="AV7" s="8">
        <f t="shared" si="0"/>
        <v>2329113</v>
      </c>
      <c r="AW7" s="743">
        <f t="shared" si="1"/>
        <v>5316849</v>
      </c>
      <c r="AX7" s="740">
        <v>2204</v>
      </c>
      <c r="AY7" s="358">
        <v>3864</v>
      </c>
      <c r="AZ7" s="9">
        <f t="shared" si="2"/>
        <v>2331317</v>
      </c>
      <c r="BA7" s="9">
        <f t="shared" si="3"/>
        <v>5320713</v>
      </c>
    </row>
    <row r="8" spans="1:53" s="497" customFormat="1" ht="13.5">
      <c r="A8" s="250" t="s">
        <v>6</v>
      </c>
      <c r="B8" s="8">
        <v>129732</v>
      </c>
      <c r="C8" s="358">
        <v>389331</v>
      </c>
      <c r="D8" s="20">
        <v>24006</v>
      </c>
      <c r="E8" s="17">
        <v>63975</v>
      </c>
      <c r="F8" s="18"/>
      <c r="G8" s="357"/>
      <c r="H8" s="18">
        <v>381637</v>
      </c>
      <c r="I8" s="357">
        <v>611374</v>
      </c>
      <c r="J8" s="18"/>
      <c r="K8" s="17"/>
      <c r="L8" s="18">
        <v>82834</v>
      </c>
      <c r="M8" s="17">
        <v>252427</v>
      </c>
      <c r="N8" s="18">
        <v>5624</v>
      </c>
      <c r="O8" s="17">
        <v>208003</v>
      </c>
      <c r="P8" s="18">
        <v>10199</v>
      </c>
      <c r="Q8" s="357">
        <v>26611</v>
      </c>
      <c r="R8" s="18">
        <v>505165</v>
      </c>
      <c r="S8" s="358">
        <v>736608</v>
      </c>
      <c r="T8" s="20">
        <v>7163</v>
      </c>
      <c r="U8" s="502">
        <v>35338</v>
      </c>
      <c r="V8" s="18">
        <v>838379</v>
      </c>
      <c r="W8" s="358">
        <v>1263290</v>
      </c>
      <c r="X8" s="18">
        <v>820555</v>
      </c>
      <c r="Y8" s="358">
        <v>1287435</v>
      </c>
      <c r="Z8" s="498"/>
      <c r="AA8" s="357"/>
      <c r="AB8" s="18">
        <v>545122</v>
      </c>
      <c r="AC8" s="590">
        <v>779792</v>
      </c>
      <c r="AD8" s="18">
        <v>106007</v>
      </c>
      <c r="AE8" s="358">
        <v>234962</v>
      </c>
      <c r="AF8" s="18">
        <v>74369</v>
      </c>
      <c r="AG8" s="358">
        <v>249390</v>
      </c>
      <c r="AH8" s="18">
        <v>288005</v>
      </c>
      <c r="AI8" s="358">
        <v>576813</v>
      </c>
      <c r="AJ8" s="18">
        <v>37</v>
      </c>
      <c r="AK8" s="358">
        <v>1194</v>
      </c>
      <c r="AL8" s="499"/>
      <c r="AM8" s="590"/>
      <c r="AN8" s="734">
        <v>83628</v>
      </c>
      <c r="AO8" s="496">
        <v>285750</v>
      </c>
      <c r="AP8" s="500">
        <v>192406</v>
      </c>
      <c r="AQ8" s="737">
        <v>195305</v>
      </c>
      <c r="AR8" s="740">
        <v>482</v>
      </c>
      <c r="AS8" s="358">
        <v>19606</v>
      </c>
      <c r="AT8" s="20">
        <v>23240</v>
      </c>
      <c r="AU8" s="357">
        <v>84493</v>
      </c>
      <c r="AV8" s="8">
        <f t="shared" si="0"/>
        <v>3583667</v>
      </c>
      <c r="AW8" s="743">
        <f t="shared" si="1"/>
        <v>6548516</v>
      </c>
      <c r="AX8" s="740">
        <v>1544</v>
      </c>
      <c r="AY8" s="358">
        <v>3915</v>
      </c>
      <c r="AZ8" s="9">
        <f t="shared" si="2"/>
        <v>3585211</v>
      </c>
      <c r="BA8" s="9">
        <f t="shared" si="3"/>
        <v>6552431</v>
      </c>
    </row>
    <row r="9" spans="1:53" s="497" customFormat="1" ht="13.5">
      <c r="A9" s="250" t="s">
        <v>7</v>
      </c>
      <c r="B9" s="8"/>
      <c r="C9" s="358"/>
      <c r="D9" s="20"/>
      <c r="E9" s="17"/>
      <c r="F9" s="18"/>
      <c r="G9" s="357"/>
      <c r="H9" s="18">
        <v>409194</v>
      </c>
      <c r="I9" s="357">
        <v>816543</v>
      </c>
      <c r="J9" s="18"/>
      <c r="K9" s="17"/>
      <c r="L9" s="18"/>
      <c r="M9" s="17"/>
      <c r="N9" s="18">
        <v>159161</v>
      </c>
      <c r="O9" s="17">
        <v>80399</v>
      </c>
      <c r="P9" s="18"/>
      <c r="Q9" s="357"/>
      <c r="R9" s="18"/>
      <c r="S9" s="358"/>
      <c r="T9" s="20"/>
      <c r="U9" s="502"/>
      <c r="V9" s="18">
        <v>119181</v>
      </c>
      <c r="W9" s="358">
        <v>170336</v>
      </c>
      <c r="X9" s="18"/>
      <c r="Y9" s="358"/>
      <c r="Z9" s="498"/>
      <c r="AA9" s="357"/>
      <c r="AB9" s="18"/>
      <c r="AC9" s="590"/>
      <c r="AD9" s="18">
        <v>849047</v>
      </c>
      <c r="AE9" s="358">
        <v>1418153</v>
      </c>
      <c r="AF9" s="18"/>
      <c r="AG9" s="358"/>
      <c r="AH9" s="18"/>
      <c r="AI9" s="358"/>
      <c r="AJ9" s="18"/>
      <c r="AK9" s="358"/>
      <c r="AL9" s="499"/>
      <c r="AM9" s="590"/>
      <c r="AN9" s="734"/>
      <c r="AO9" s="496"/>
      <c r="AP9" s="500"/>
      <c r="AQ9" s="737"/>
      <c r="AR9" s="740"/>
      <c r="AS9" s="358"/>
      <c r="AT9" s="20"/>
      <c r="AU9" s="357"/>
      <c r="AV9" s="8">
        <f t="shared" si="0"/>
        <v>1536583</v>
      </c>
      <c r="AW9" s="743">
        <f t="shared" si="1"/>
        <v>2485431</v>
      </c>
      <c r="AX9" s="740"/>
      <c r="AY9" s="358"/>
      <c r="AZ9" s="9">
        <f t="shared" si="2"/>
        <v>1536583</v>
      </c>
      <c r="BA9" s="9">
        <f t="shared" si="3"/>
        <v>2485431</v>
      </c>
    </row>
    <row r="10" spans="1:53" s="497" customFormat="1" ht="13.5">
      <c r="A10" s="250" t="s">
        <v>8</v>
      </c>
      <c r="B10" s="8">
        <v>82099</v>
      </c>
      <c r="C10" s="358">
        <v>277798</v>
      </c>
      <c r="D10" s="20">
        <v>3791</v>
      </c>
      <c r="E10" s="17">
        <v>10541</v>
      </c>
      <c r="F10" s="18"/>
      <c r="G10" s="357"/>
      <c r="H10" s="18">
        <v>3714129</v>
      </c>
      <c r="I10" s="357">
        <v>6854156</v>
      </c>
      <c r="J10" s="18">
        <v>493203</v>
      </c>
      <c r="K10" s="17">
        <v>1519405</v>
      </c>
      <c r="L10" s="18">
        <v>15223</v>
      </c>
      <c r="M10" s="17">
        <v>45136</v>
      </c>
      <c r="N10" s="18">
        <v>87361</v>
      </c>
      <c r="O10" s="17">
        <v>882208</v>
      </c>
      <c r="P10" s="18">
        <v>9561</v>
      </c>
      <c r="Q10" s="357">
        <v>15187</v>
      </c>
      <c r="R10" s="18">
        <v>3256</v>
      </c>
      <c r="S10" s="358">
        <v>13536</v>
      </c>
      <c r="T10" s="20">
        <v>3197</v>
      </c>
      <c r="U10" s="502">
        <v>8761</v>
      </c>
      <c r="V10" s="18">
        <v>3529316</v>
      </c>
      <c r="W10" s="358">
        <v>7566520</v>
      </c>
      <c r="X10" s="18">
        <v>6639607</v>
      </c>
      <c r="Y10" s="358">
        <v>11872717</v>
      </c>
      <c r="Z10" s="498">
        <v>806</v>
      </c>
      <c r="AA10" s="357">
        <v>1754</v>
      </c>
      <c r="AB10" s="18">
        <v>814270</v>
      </c>
      <c r="AC10" s="590">
        <v>1754088</v>
      </c>
      <c r="AD10" s="680">
        <v>1915715</v>
      </c>
      <c r="AE10" s="358">
        <v>3871061</v>
      </c>
      <c r="AF10" s="18">
        <v>533800</v>
      </c>
      <c r="AG10" s="358">
        <v>1150669</v>
      </c>
      <c r="AH10" s="18">
        <v>32130</v>
      </c>
      <c r="AI10" s="358">
        <v>145698</v>
      </c>
      <c r="AJ10" s="18">
        <v>213264</v>
      </c>
      <c r="AK10" s="358">
        <v>156164</v>
      </c>
      <c r="AL10" s="499"/>
      <c r="AM10" s="590"/>
      <c r="AN10" s="734">
        <v>2523577</v>
      </c>
      <c r="AO10" s="496">
        <v>5585435</v>
      </c>
      <c r="AP10" s="500">
        <v>2335573</v>
      </c>
      <c r="AQ10" s="737">
        <v>2911076</v>
      </c>
      <c r="AR10" s="740">
        <v>1775</v>
      </c>
      <c r="AS10" s="358">
        <v>3690</v>
      </c>
      <c r="AT10" s="20">
        <v>44856</v>
      </c>
      <c r="AU10" s="357">
        <v>245519</v>
      </c>
      <c r="AV10" s="8">
        <f t="shared" si="0"/>
        <v>22191800</v>
      </c>
      <c r="AW10" s="743">
        <f t="shared" si="1"/>
        <v>43152218</v>
      </c>
      <c r="AX10" s="18">
        <v>5990695</v>
      </c>
      <c r="AY10" s="358">
        <v>15988994</v>
      </c>
      <c r="AZ10" s="9">
        <f t="shared" si="2"/>
        <v>28182495</v>
      </c>
      <c r="BA10" s="9">
        <f t="shared" si="3"/>
        <v>59141212</v>
      </c>
    </row>
    <row r="11" spans="1:53" s="497" customFormat="1" ht="14.25" thickBot="1">
      <c r="A11" s="250" t="s">
        <v>9</v>
      </c>
      <c r="B11" s="477"/>
      <c r="C11" s="525"/>
      <c r="D11" s="479"/>
      <c r="E11" s="527"/>
      <c r="F11" s="482"/>
      <c r="G11" s="527"/>
      <c r="H11" s="482"/>
      <c r="I11" s="527"/>
      <c r="J11" s="482"/>
      <c r="K11" s="527"/>
      <c r="L11" s="482"/>
      <c r="M11" s="17"/>
      <c r="N11" s="482"/>
      <c r="O11" s="17"/>
      <c r="P11" s="482"/>
      <c r="Q11" s="357"/>
      <c r="R11" s="482"/>
      <c r="S11" s="358"/>
      <c r="T11" s="479"/>
      <c r="U11" s="502"/>
      <c r="V11" s="482"/>
      <c r="W11" s="358"/>
      <c r="X11" s="482">
        <f>72+19516</f>
        <v>19588</v>
      </c>
      <c r="Y11" s="358">
        <f>96+47071</f>
        <v>47167</v>
      </c>
      <c r="Z11" s="529"/>
      <c r="AA11" s="357"/>
      <c r="AB11" s="482"/>
      <c r="AC11" s="592"/>
      <c r="AD11" s="681"/>
      <c r="AE11" s="480"/>
      <c r="AF11" s="482"/>
      <c r="AG11" s="358"/>
      <c r="AH11" s="482"/>
      <c r="AI11" s="358"/>
      <c r="AJ11" s="482"/>
      <c r="AK11" s="528"/>
      <c r="AL11" s="530"/>
      <c r="AM11" s="592"/>
      <c r="AN11" s="735"/>
      <c r="AO11" s="531"/>
      <c r="AP11" s="532"/>
      <c r="AQ11" s="738"/>
      <c r="AR11" s="741"/>
      <c r="AS11" s="533"/>
      <c r="AT11" s="479"/>
      <c r="AU11" s="527"/>
      <c r="AV11" s="477">
        <f t="shared" si="0"/>
        <v>19588</v>
      </c>
      <c r="AW11" s="744">
        <f t="shared" si="1"/>
        <v>47167</v>
      </c>
      <c r="AX11" s="482"/>
      <c r="AY11" s="358"/>
      <c r="AZ11" s="481">
        <f t="shared" si="2"/>
        <v>19588</v>
      </c>
      <c r="BA11" s="481">
        <f t="shared" si="3"/>
        <v>47167</v>
      </c>
    </row>
    <row r="12" spans="1:53" s="286" customFormat="1" ht="15" thickBot="1">
      <c r="A12" s="503" t="s">
        <v>10</v>
      </c>
      <c r="B12" s="466">
        <f>SUM(B5:B11)</f>
        <v>393644</v>
      </c>
      <c r="C12" s="469">
        <f aca="true" t="shared" si="4" ref="C12:AH12">SUM(C5:C11)</f>
        <v>1032809</v>
      </c>
      <c r="D12" s="470">
        <f t="shared" si="4"/>
        <v>29252</v>
      </c>
      <c r="E12" s="468">
        <f t="shared" si="4"/>
        <v>89831</v>
      </c>
      <c r="F12" s="466">
        <f t="shared" si="4"/>
        <v>0</v>
      </c>
      <c r="G12" s="468">
        <f t="shared" si="4"/>
        <v>0</v>
      </c>
      <c r="H12" s="466">
        <f t="shared" si="4"/>
        <v>6986869</v>
      </c>
      <c r="I12" s="468">
        <f t="shared" si="4"/>
        <v>12702596</v>
      </c>
      <c r="J12" s="466">
        <f t="shared" si="4"/>
        <v>500804</v>
      </c>
      <c r="K12" s="468">
        <f t="shared" si="4"/>
        <v>1551631</v>
      </c>
      <c r="L12" s="466">
        <f t="shared" si="4"/>
        <v>176159</v>
      </c>
      <c r="M12" s="468">
        <f t="shared" si="4"/>
        <v>4365159</v>
      </c>
      <c r="N12" s="466">
        <f t="shared" si="4"/>
        <v>318322</v>
      </c>
      <c r="O12" s="468">
        <f t="shared" si="4"/>
        <v>1891608</v>
      </c>
      <c r="P12" s="466">
        <f>SUM(P5:P11)</f>
        <v>74095</v>
      </c>
      <c r="Q12" s="468">
        <f>SUM(Q5:Q11)</f>
        <v>153855</v>
      </c>
      <c r="R12" s="466">
        <f t="shared" si="4"/>
        <v>508557</v>
      </c>
      <c r="S12" s="469">
        <f t="shared" si="4"/>
        <v>750442</v>
      </c>
      <c r="T12" s="470">
        <f t="shared" si="4"/>
        <v>29814</v>
      </c>
      <c r="U12" s="526">
        <f t="shared" si="4"/>
        <v>69794</v>
      </c>
      <c r="V12" s="466">
        <f t="shared" si="4"/>
        <v>10814591</v>
      </c>
      <c r="W12" s="469">
        <f t="shared" si="4"/>
        <v>20578233</v>
      </c>
      <c r="X12" s="466">
        <f t="shared" si="4"/>
        <v>8284577</v>
      </c>
      <c r="Y12" s="469">
        <f t="shared" si="4"/>
        <v>14677973</v>
      </c>
      <c r="Z12" s="470">
        <f t="shared" si="4"/>
        <v>10558</v>
      </c>
      <c r="AA12" s="468">
        <f t="shared" si="4"/>
        <v>16054</v>
      </c>
      <c r="AB12" s="466">
        <f t="shared" si="4"/>
        <v>1377699</v>
      </c>
      <c r="AC12" s="526">
        <f t="shared" si="4"/>
        <v>2613524</v>
      </c>
      <c r="AD12" s="466">
        <f t="shared" si="4"/>
        <v>4287631</v>
      </c>
      <c r="AE12" s="469">
        <f t="shared" si="4"/>
        <v>8666461</v>
      </c>
      <c r="AF12" s="466">
        <f t="shared" si="4"/>
        <v>1041188</v>
      </c>
      <c r="AG12" s="469">
        <f t="shared" si="4"/>
        <v>2522882</v>
      </c>
      <c r="AH12" s="466">
        <f t="shared" si="4"/>
        <v>635294</v>
      </c>
      <c r="AI12" s="469">
        <f aca="true" t="shared" si="5" ref="AI12:AU12">SUM(AI5:AI11)</f>
        <v>1260704</v>
      </c>
      <c r="AJ12" s="466">
        <f t="shared" si="5"/>
        <v>213301</v>
      </c>
      <c r="AK12" s="469">
        <f t="shared" si="5"/>
        <v>157358</v>
      </c>
      <c r="AL12" s="470">
        <f t="shared" si="5"/>
        <v>0</v>
      </c>
      <c r="AM12" s="526">
        <f t="shared" si="5"/>
        <v>0</v>
      </c>
      <c r="AN12" s="466">
        <f t="shared" si="5"/>
        <v>3025088</v>
      </c>
      <c r="AO12" s="469">
        <f t="shared" si="5"/>
        <v>6988750</v>
      </c>
      <c r="AP12" s="470">
        <f t="shared" si="5"/>
        <v>2820025</v>
      </c>
      <c r="AQ12" s="526">
        <f t="shared" si="5"/>
        <v>3821624</v>
      </c>
      <c r="AR12" s="466">
        <f t="shared" si="5"/>
        <v>1035667</v>
      </c>
      <c r="AS12" s="469">
        <f t="shared" si="5"/>
        <v>2978386</v>
      </c>
      <c r="AT12" s="470">
        <f t="shared" si="5"/>
        <v>77240</v>
      </c>
      <c r="AU12" s="468">
        <f t="shared" si="5"/>
        <v>345781</v>
      </c>
      <c r="AV12" s="466">
        <f t="shared" si="0"/>
        <v>41336771</v>
      </c>
      <c r="AW12" s="745">
        <f t="shared" si="1"/>
        <v>84775786</v>
      </c>
      <c r="AX12" s="474">
        <f>SUM(AX5:AX11)</f>
        <v>6143449</v>
      </c>
      <c r="AY12" s="475">
        <f>SUM(AY5:AY11)</f>
        <v>16455055</v>
      </c>
      <c r="AZ12" s="470">
        <f t="shared" si="2"/>
        <v>47480220</v>
      </c>
      <c r="BA12" s="470">
        <f t="shared" si="3"/>
        <v>101230841</v>
      </c>
    </row>
    <row r="13" spans="1:53" ht="15" thickBot="1">
      <c r="A13" s="245" t="s">
        <v>11</v>
      </c>
      <c r="B13" s="534"/>
      <c r="C13" s="535"/>
      <c r="D13" s="536"/>
      <c r="E13" s="537"/>
      <c r="F13" s="591"/>
      <c r="G13" s="537"/>
      <c r="H13" s="591"/>
      <c r="I13" s="537"/>
      <c r="J13" s="594"/>
      <c r="K13" s="539"/>
      <c r="L13" s="591"/>
      <c r="M13" s="537"/>
      <c r="N13" s="591"/>
      <c r="O13" s="537"/>
      <c r="P13" s="591"/>
      <c r="Q13" s="537"/>
      <c r="R13" s="591"/>
      <c r="S13" s="538"/>
      <c r="T13" s="536"/>
      <c r="U13" s="540"/>
      <c r="V13" s="591"/>
      <c r="W13" s="538"/>
      <c r="X13" s="591"/>
      <c r="Y13" s="538"/>
      <c r="Z13" s="536"/>
      <c r="AA13" s="537"/>
      <c r="AB13" s="541"/>
      <c r="AC13" s="732"/>
      <c r="AD13" s="591"/>
      <c r="AE13" s="538"/>
      <c r="AF13" s="591"/>
      <c r="AG13" s="538"/>
      <c r="AH13" s="591"/>
      <c r="AI13" s="538"/>
      <c r="AJ13" s="591"/>
      <c r="AK13" s="538"/>
      <c r="AL13" s="542"/>
      <c r="AM13" s="593"/>
      <c r="AN13" s="736"/>
      <c r="AO13" s="543"/>
      <c r="AP13" s="544"/>
      <c r="AQ13" s="739"/>
      <c r="AR13" s="742"/>
      <c r="AS13" s="545">
        <v>0</v>
      </c>
      <c r="AT13" s="536"/>
      <c r="AU13" s="537"/>
      <c r="AV13" s="534">
        <f t="shared" si="0"/>
        <v>0</v>
      </c>
      <c r="AW13" s="746">
        <f t="shared" si="1"/>
        <v>0</v>
      </c>
      <c r="AX13" s="742"/>
      <c r="AY13" s="545"/>
      <c r="AZ13" s="546">
        <f t="shared" si="2"/>
        <v>0</v>
      </c>
      <c r="BA13" s="546">
        <f t="shared" si="3"/>
        <v>0</v>
      </c>
    </row>
    <row r="14" spans="1:53" s="286" customFormat="1" ht="15" thickBot="1">
      <c r="A14" s="503" t="s">
        <v>12</v>
      </c>
      <c r="B14" s="466">
        <f>B12+B13</f>
        <v>393644</v>
      </c>
      <c r="C14" s="469">
        <f aca="true" t="shared" si="6" ref="C14:AH14">C12+C13</f>
        <v>1032809</v>
      </c>
      <c r="D14" s="470">
        <f t="shared" si="6"/>
        <v>29252</v>
      </c>
      <c r="E14" s="468">
        <f t="shared" si="6"/>
        <v>89831</v>
      </c>
      <c r="F14" s="466">
        <f t="shared" si="6"/>
        <v>0</v>
      </c>
      <c r="G14" s="468">
        <f t="shared" si="6"/>
        <v>0</v>
      </c>
      <c r="H14" s="466">
        <f t="shared" si="6"/>
        <v>6986869</v>
      </c>
      <c r="I14" s="468">
        <f t="shared" si="6"/>
        <v>12702596</v>
      </c>
      <c r="J14" s="466">
        <f t="shared" si="6"/>
        <v>500804</v>
      </c>
      <c r="K14" s="468">
        <f t="shared" si="6"/>
        <v>1551631</v>
      </c>
      <c r="L14" s="466">
        <f t="shared" si="6"/>
        <v>176159</v>
      </c>
      <c r="M14" s="468">
        <f t="shared" si="6"/>
        <v>4365159</v>
      </c>
      <c r="N14" s="466">
        <f t="shared" si="6"/>
        <v>318322</v>
      </c>
      <c r="O14" s="468">
        <f t="shared" si="6"/>
        <v>1891608</v>
      </c>
      <c r="P14" s="466">
        <f>P12+P13</f>
        <v>74095</v>
      </c>
      <c r="Q14" s="468">
        <f>Q12+Q13</f>
        <v>153855</v>
      </c>
      <c r="R14" s="466">
        <f t="shared" si="6"/>
        <v>508557</v>
      </c>
      <c r="S14" s="469">
        <f t="shared" si="6"/>
        <v>750442</v>
      </c>
      <c r="T14" s="470">
        <f t="shared" si="6"/>
        <v>29814</v>
      </c>
      <c r="U14" s="526">
        <f t="shared" si="6"/>
        <v>69794</v>
      </c>
      <c r="V14" s="466">
        <f t="shared" si="6"/>
        <v>10814591</v>
      </c>
      <c r="W14" s="469">
        <f t="shared" si="6"/>
        <v>20578233</v>
      </c>
      <c r="X14" s="466">
        <f t="shared" si="6"/>
        <v>8284577</v>
      </c>
      <c r="Y14" s="469">
        <f t="shared" si="6"/>
        <v>14677973</v>
      </c>
      <c r="Z14" s="470">
        <f t="shared" si="6"/>
        <v>10558</v>
      </c>
      <c r="AA14" s="468">
        <f t="shared" si="6"/>
        <v>16054</v>
      </c>
      <c r="AB14" s="466">
        <f t="shared" si="6"/>
        <v>1377699</v>
      </c>
      <c r="AC14" s="526">
        <f t="shared" si="6"/>
        <v>2613524</v>
      </c>
      <c r="AD14" s="466">
        <f t="shared" si="6"/>
        <v>4287631</v>
      </c>
      <c r="AE14" s="469">
        <f t="shared" si="6"/>
        <v>8666461</v>
      </c>
      <c r="AF14" s="466">
        <f t="shared" si="6"/>
        <v>1041188</v>
      </c>
      <c r="AG14" s="469">
        <f t="shared" si="6"/>
        <v>2522882</v>
      </c>
      <c r="AH14" s="466">
        <f t="shared" si="6"/>
        <v>635294</v>
      </c>
      <c r="AI14" s="469">
        <f aca="true" t="shared" si="7" ref="AI14:AU14">AI12+AI13</f>
        <v>1260704</v>
      </c>
      <c r="AJ14" s="466">
        <f t="shared" si="7"/>
        <v>213301</v>
      </c>
      <c r="AK14" s="469">
        <f t="shared" si="7"/>
        <v>157358</v>
      </c>
      <c r="AL14" s="470">
        <f t="shared" si="7"/>
        <v>0</v>
      </c>
      <c r="AM14" s="526">
        <f t="shared" si="7"/>
        <v>0</v>
      </c>
      <c r="AN14" s="466">
        <f t="shared" si="7"/>
        <v>3025088</v>
      </c>
      <c r="AO14" s="469">
        <f t="shared" si="7"/>
        <v>6988750</v>
      </c>
      <c r="AP14" s="470">
        <f t="shared" si="7"/>
        <v>2820025</v>
      </c>
      <c r="AQ14" s="526">
        <f t="shared" si="7"/>
        <v>3821624</v>
      </c>
      <c r="AR14" s="466">
        <f t="shared" si="7"/>
        <v>1035667</v>
      </c>
      <c r="AS14" s="469">
        <f t="shared" si="7"/>
        <v>2978386</v>
      </c>
      <c r="AT14" s="470">
        <f t="shared" si="7"/>
        <v>77240</v>
      </c>
      <c r="AU14" s="468">
        <f t="shared" si="7"/>
        <v>345781</v>
      </c>
      <c r="AV14" s="466">
        <f t="shared" si="0"/>
        <v>41336771</v>
      </c>
      <c r="AW14" s="745">
        <f t="shared" si="1"/>
        <v>84775786</v>
      </c>
      <c r="AX14" s="474">
        <f>AX12+AX13</f>
        <v>6143449</v>
      </c>
      <c r="AY14" s="475">
        <f>AY12+AY13</f>
        <v>16455055</v>
      </c>
      <c r="AZ14" s="470">
        <f t="shared" si="2"/>
        <v>47480220</v>
      </c>
      <c r="BA14" s="470">
        <f t="shared" si="3"/>
        <v>101230841</v>
      </c>
    </row>
  </sheetData>
  <sheetProtection/>
  <mergeCells count="29">
    <mergeCell ref="J3:K3"/>
    <mergeCell ref="L3:M3"/>
    <mergeCell ref="N3:O3"/>
    <mergeCell ref="AB3:AC3"/>
    <mergeCell ref="AD3:AE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  <mergeCell ref="AL3:AM3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BF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X8" sqref="X8"/>
    </sheetView>
  </sheetViews>
  <sheetFormatPr defaultColWidth="9.140625" defaultRowHeight="15"/>
  <cols>
    <col min="1" max="1" width="20.00390625" style="43" bestFit="1" customWidth="1"/>
    <col min="2" max="2" width="13.8515625" style="43" bestFit="1" customWidth="1"/>
    <col min="3" max="3" width="15.00390625" style="43" bestFit="1" customWidth="1"/>
    <col min="4" max="4" width="13.8515625" style="43" bestFit="1" customWidth="1"/>
    <col min="5" max="5" width="15.00390625" style="43" bestFit="1" customWidth="1"/>
    <col min="6" max="6" width="13.8515625" style="43" bestFit="1" customWidth="1"/>
    <col min="7" max="7" width="15.00390625" style="43" bestFit="1" customWidth="1"/>
    <col min="8" max="8" width="13.8515625" style="43" bestFit="1" customWidth="1"/>
    <col min="9" max="9" width="15.00390625" style="43" bestFit="1" customWidth="1"/>
    <col min="10" max="10" width="13.8515625" style="43" bestFit="1" customWidth="1"/>
    <col min="11" max="11" width="15.00390625" style="43" bestFit="1" customWidth="1"/>
    <col min="12" max="12" width="13.8515625" style="43" bestFit="1" customWidth="1"/>
    <col min="13" max="13" width="15.00390625" style="43" bestFit="1" customWidth="1"/>
    <col min="14" max="14" width="13.8515625" style="43" bestFit="1" customWidth="1"/>
    <col min="15" max="15" width="15.00390625" style="43" bestFit="1" customWidth="1"/>
    <col min="16" max="16" width="13.8515625" style="43" bestFit="1" customWidth="1"/>
    <col min="17" max="17" width="15.00390625" style="43" bestFit="1" customWidth="1"/>
    <col min="18" max="18" width="13.8515625" style="43" bestFit="1" customWidth="1"/>
    <col min="19" max="19" width="15.00390625" style="43" bestFit="1" customWidth="1"/>
    <col min="20" max="20" width="13.8515625" style="43" bestFit="1" customWidth="1"/>
    <col min="21" max="21" width="15.00390625" style="43" bestFit="1" customWidth="1"/>
    <col min="22" max="22" width="13.8515625" style="43" bestFit="1" customWidth="1"/>
    <col min="23" max="23" width="15.00390625" style="43" bestFit="1" customWidth="1"/>
    <col min="24" max="24" width="13.8515625" style="43" bestFit="1" customWidth="1"/>
    <col min="25" max="25" width="15.00390625" style="43" bestFit="1" customWidth="1"/>
    <col min="26" max="26" width="13.8515625" style="43" bestFit="1" customWidth="1"/>
    <col min="27" max="27" width="15.00390625" style="43" bestFit="1" customWidth="1"/>
    <col min="28" max="28" width="13.8515625" style="43" bestFit="1" customWidth="1"/>
    <col min="29" max="29" width="15.00390625" style="43" bestFit="1" customWidth="1"/>
    <col min="30" max="30" width="13.8515625" style="43" bestFit="1" customWidth="1"/>
    <col min="31" max="31" width="15.00390625" style="43" bestFit="1" customWidth="1"/>
    <col min="32" max="32" width="13.8515625" style="43" bestFit="1" customWidth="1"/>
    <col min="33" max="33" width="15.00390625" style="43" bestFit="1" customWidth="1"/>
    <col min="34" max="34" width="13.8515625" style="43" bestFit="1" customWidth="1"/>
    <col min="35" max="35" width="15.00390625" style="43" bestFit="1" customWidth="1"/>
    <col min="36" max="36" width="13.8515625" style="43" bestFit="1" customWidth="1"/>
    <col min="37" max="37" width="15.00390625" style="43" bestFit="1" customWidth="1"/>
    <col min="38" max="38" width="13.8515625" style="43" bestFit="1" customWidth="1"/>
    <col min="39" max="39" width="15.00390625" style="43" bestFit="1" customWidth="1"/>
    <col min="40" max="40" width="13.8515625" style="43" bestFit="1" customWidth="1"/>
    <col min="41" max="41" width="15.00390625" style="43" bestFit="1" customWidth="1"/>
    <col min="42" max="42" width="13.8515625" style="43" bestFit="1" customWidth="1"/>
    <col min="43" max="43" width="15.00390625" style="43" bestFit="1" customWidth="1"/>
    <col min="44" max="44" width="13.8515625" style="43" bestFit="1" customWidth="1"/>
    <col min="45" max="45" width="15.00390625" style="43" bestFit="1" customWidth="1"/>
    <col min="46" max="46" width="13.8515625" style="43" bestFit="1" customWidth="1"/>
    <col min="47" max="47" width="15.00390625" style="43" bestFit="1" customWidth="1"/>
    <col min="48" max="48" width="13.8515625" style="43" bestFit="1" customWidth="1"/>
    <col min="49" max="49" width="15.00390625" style="43" bestFit="1" customWidth="1"/>
    <col min="50" max="50" width="13.8515625" style="43" bestFit="1" customWidth="1"/>
    <col min="51" max="51" width="15.00390625" style="43" bestFit="1" customWidth="1"/>
    <col min="52" max="52" width="13.8515625" style="43" bestFit="1" customWidth="1"/>
    <col min="53" max="53" width="15.00390625" style="43" bestFit="1" customWidth="1"/>
    <col min="54" max="58" width="9.140625" style="575" customWidth="1"/>
    <col min="59" max="16384" width="9.140625" style="43" customWidth="1"/>
  </cols>
  <sheetData>
    <row r="1" spans="1:52" ht="17.25">
      <c r="A1" s="1032" t="s">
        <v>211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1032"/>
      <c r="S1" s="1032"/>
      <c r="T1" s="1032"/>
      <c r="U1" s="1032"/>
      <c r="V1" s="1032"/>
      <c r="W1" s="1032"/>
      <c r="X1" s="1032"/>
      <c r="Y1" s="1032"/>
      <c r="Z1" s="1032"/>
      <c r="AA1" s="1032"/>
      <c r="AB1" s="1032"/>
      <c r="AC1" s="1032"/>
      <c r="AD1" s="1032"/>
      <c r="AE1" s="1032"/>
      <c r="AF1" s="1032"/>
      <c r="AG1" s="1032"/>
      <c r="AH1" s="1032"/>
      <c r="AI1" s="1032"/>
      <c r="AJ1" s="1032"/>
      <c r="AK1" s="1032"/>
      <c r="AL1" s="1032"/>
      <c r="AM1" s="1032"/>
      <c r="AN1" s="1032"/>
      <c r="AO1" s="1032"/>
      <c r="AP1" s="1032"/>
      <c r="AQ1" s="1032"/>
      <c r="AR1" s="1032"/>
      <c r="AS1" s="1032"/>
      <c r="AT1" s="1032"/>
      <c r="AU1" s="1032"/>
      <c r="AV1" s="1032"/>
      <c r="AW1" s="1032"/>
      <c r="AX1" s="1032"/>
      <c r="AY1" s="1032"/>
      <c r="AZ1" s="1032"/>
    </row>
    <row r="2" spans="1:58" s="428" customFormat="1" ht="18" thickBot="1">
      <c r="A2" s="1083" t="s">
        <v>114</v>
      </c>
      <c r="B2" s="1083"/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  <c r="O2" s="1083"/>
      <c r="P2" s="1083"/>
      <c r="Q2" s="1083"/>
      <c r="R2" s="1083"/>
      <c r="S2" s="1083"/>
      <c r="T2" s="1083"/>
      <c r="U2" s="1083"/>
      <c r="V2" s="1083"/>
      <c r="W2" s="1083"/>
      <c r="X2" s="1083"/>
      <c r="Y2" s="1083"/>
      <c r="Z2" s="1083"/>
      <c r="AA2" s="1083"/>
      <c r="AB2" s="1083"/>
      <c r="AC2" s="1083"/>
      <c r="AD2" s="1083"/>
      <c r="AE2" s="1083"/>
      <c r="AF2" s="1083"/>
      <c r="AG2" s="1083"/>
      <c r="AH2" s="1083"/>
      <c r="AI2" s="1083"/>
      <c r="AJ2" s="1083"/>
      <c r="AK2" s="1083"/>
      <c r="AL2" s="1083"/>
      <c r="AM2" s="1083"/>
      <c r="AN2" s="1083"/>
      <c r="AO2" s="1083"/>
      <c r="AP2" s="1083"/>
      <c r="AQ2" s="1083"/>
      <c r="AR2" s="1083"/>
      <c r="AS2" s="1083"/>
      <c r="AT2" s="1083"/>
      <c r="AU2" s="1083"/>
      <c r="AV2" s="1083"/>
      <c r="AW2" s="1083"/>
      <c r="AX2" s="1083"/>
      <c r="AY2" s="1083"/>
      <c r="AZ2" s="1083"/>
      <c r="BB2" s="576"/>
      <c r="BC2" s="576"/>
      <c r="BD2" s="576"/>
      <c r="BE2" s="576"/>
      <c r="BF2" s="576"/>
    </row>
    <row r="3" spans="1:58" s="524" customFormat="1" ht="54.75" customHeight="1" thickBot="1">
      <c r="A3" s="1084" t="s">
        <v>14</v>
      </c>
      <c r="B3" s="1086" t="s">
        <v>116</v>
      </c>
      <c r="C3" s="1087"/>
      <c r="D3" s="1086" t="s">
        <v>117</v>
      </c>
      <c r="E3" s="1087"/>
      <c r="F3" s="1086" t="s">
        <v>118</v>
      </c>
      <c r="G3" s="1087"/>
      <c r="H3" s="1086" t="s">
        <v>119</v>
      </c>
      <c r="I3" s="1088"/>
      <c r="J3" s="1086" t="s">
        <v>120</v>
      </c>
      <c r="K3" s="1087"/>
      <c r="L3" s="1078" t="s">
        <v>121</v>
      </c>
      <c r="M3" s="1079"/>
      <c r="N3" s="1078" t="s">
        <v>226</v>
      </c>
      <c r="O3" s="1079"/>
      <c r="P3" s="1078" t="s">
        <v>122</v>
      </c>
      <c r="Q3" s="1079"/>
      <c r="R3" s="1078" t="s">
        <v>123</v>
      </c>
      <c r="S3" s="1079"/>
      <c r="T3" s="1078" t="s">
        <v>124</v>
      </c>
      <c r="U3" s="1079"/>
      <c r="V3" s="1078" t="s">
        <v>125</v>
      </c>
      <c r="W3" s="1079"/>
      <c r="X3" s="1078" t="s">
        <v>126</v>
      </c>
      <c r="Y3" s="1079"/>
      <c r="Z3" s="1078" t="s">
        <v>234</v>
      </c>
      <c r="AA3" s="1089"/>
      <c r="AB3" s="1079" t="s">
        <v>127</v>
      </c>
      <c r="AC3" s="1079"/>
      <c r="AD3" s="1080" t="s">
        <v>128</v>
      </c>
      <c r="AE3" s="1082"/>
      <c r="AF3" s="1079" t="s">
        <v>129</v>
      </c>
      <c r="AG3" s="1079"/>
      <c r="AH3" s="1078" t="s">
        <v>130</v>
      </c>
      <c r="AI3" s="1079"/>
      <c r="AJ3" s="1079" t="s">
        <v>131</v>
      </c>
      <c r="AK3" s="1079"/>
      <c r="AL3" s="1080" t="s">
        <v>132</v>
      </c>
      <c r="AM3" s="1082"/>
      <c r="AN3" s="1078" t="s">
        <v>133</v>
      </c>
      <c r="AO3" s="1079"/>
      <c r="AP3" s="1078" t="s">
        <v>134</v>
      </c>
      <c r="AQ3" s="1079"/>
      <c r="AR3" s="1078" t="s">
        <v>135</v>
      </c>
      <c r="AS3" s="1079"/>
      <c r="AT3" s="1078" t="s">
        <v>136</v>
      </c>
      <c r="AU3" s="1079"/>
      <c r="AV3" s="1078" t="s">
        <v>1</v>
      </c>
      <c r="AW3" s="1079"/>
      <c r="AX3" s="1080" t="s">
        <v>137</v>
      </c>
      <c r="AY3" s="1082"/>
      <c r="AZ3" s="1080" t="s">
        <v>2</v>
      </c>
      <c r="BA3" s="1081"/>
      <c r="BB3" s="747"/>
      <c r="BC3" s="747"/>
      <c r="BD3" s="747"/>
      <c r="BE3" s="747"/>
      <c r="BF3" s="747"/>
    </row>
    <row r="4" spans="1:58" s="297" customFormat="1" ht="17.25" thickBot="1">
      <c r="A4" s="1085"/>
      <c r="B4" s="361" t="s">
        <v>230</v>
      </c>
      <c r="C4" s="362" t="s">
        <v>231</v>
      </c>
      <c r="D4" s="361" t="s">
        <v>230</v>
      </c>
      <c r="E4" s="362" t="s">
        <v>231</v>
      </c>
      <c r="F4" s="361" t="s">
        <v>230</v>
      </c>
      <c r="G4" s="362" t="s">
        <v>231</v>
      </c>
      <c r="H4" s="361" t="s">
        <v>230</v>
      </c>
      <c r="I4" s="362" t="s">
        <v>231</v>
      </c>
      <c r="J4" s="361" t="s">
        <v>230</v>
      </c>
      <c r="K4" s="362" t="s">
        <v>231</v>
      </c>
      <c r="L4" s="361" t="s">
        <v>230</v>
      </c>
      <c r="M4" s="362" t="s">
        <v>231</v>
      </c>
      <c r="N4" s="361" t="s">
        <v>230</v>
      </c>
      <c r="O4" s="362" t="s">
        <v>231</v>
      </c>
      <c r="P4" s="361" t="s">
        <v>230</v>
      </c>
      <c r="Q4" s="362" t="s">
        <v>231</v>
      </c>
      <c r="R4" s="361" t="s">
        <v>230</v>
      </c>
      <c r="S4" s="362" t="s">
        <v>231</v>
      </c>
      <c r="T4" s="361" t="s">
        <v>230</v>
      </c>
      <c r="U4" s="362" t="s">
        <v>231</v>
      </c>
      <c r="V4" s="361" t="s">
        <v>230</v>
      </c>
      <c r="W4" s="362" t="s">
        <v>231</v>
      </c>
      <c r="X4" s="361" t="s">
        <v>230</v>
      </c>
      <c r="Y4" s="362" t="s">
        <v>231</v>
      </c>
      <c r="Z4" s="361" t="s">
        <v>230</v>
      </c>
      <c r="AA4" s="363" t="s">
        <v>231</v>
      </c>
      <c r="AB4" s="362" t="s">
        <v>230</v>
      </c>
      <c r="AC4" s="362" t="s">
        <v>231</v>
      </c>
      <c r="AD4" s="361" t="s">
        <v>230</v>
      </c>
      <c r="AE4" s="362" t="s">
        <v>231</v>
      </c>
      <c r="AF4" s="361" t="s">
        <v>230</v>
      </c>
      <c r="AG4" s="362" t="s">
        <v>231</v>
      </c>
      <c r="AH4" s="361" t="s">
        <v>230</v>
      </c>
      <c r="AI4" s="362" t="s">
        <v>231</v>
      </c>
      <c r="AJ4" s="361" t="s">
        <v>230</v>
      </c>
      <c r="AK4" s="362" t="s">
        <v>231</v>
      </c>
      <c r="AL4" s="361" t="s">
        <v>230</v>
      </c>
      <c r="AM4" s="362" t="s">
        <v>231</v>
      </c>
      <c r="AN4" s="361" t="s">
        <v>230</v>
      </c>
      <c r="AO4" s="362" t="s">
        <v>231</v>
      </c>
      <c r="AP4" s="361" t="s">
        <v>230</v>
      </c>
      <c r="AQ4" s="362" t="s">
        <v>231</v>
      </c>
      <c r="AR4" s="361" t="s">
        <v>230</v>
      </c>
      <c r="AS4" s="362" t="s">
        <v>231</v>
      </c>
      <c r="AT4" s="361" t="s">
        <v>230</v>
      </c>
      <c r="AU4" s="362" t="s">
        <v>231</v>
      </c>
      <c r="AV4" s="361" t="s">
        <v>230</v>
      </c>
      <c r="AW4" s="362" t="s">
        <v>231</v>
      </c>
      <c r="AX4" s="361" t="s">
        <v>230</v>
      </c>
      <c r="AY4" s="362" t="s">
        <v>231</v>
      </c>
      <c r="AZ4" s="361" t="s">
        <v>230</v>
      </c>
      <c r="BA4" s="362" t="s">
        <v>231</v>
      </c>
      <c r="BB4" s="355"/>
      <c r="BC4" s="355"/>
      <c r="BD4" s="355"/>
      <c r="BE4" s="355"/>
      <c r="BF4" s="577"/>
    </row>
    <row r="5" spans="1:53" ht="17.25">
      <c r="A5" s="186" t="s">
        <v>3</v>
      </c>
      <c r="B5" s="255">
        <v>211</v>
      </c>
      <c r="C5" s="256">
        <v>527</v>
      </c>
      <c r="D5" s="257">
        <v>0.02</v>
      </c>
      <c r="E5" s="258">
        <v>0.09</v>
      </c>
      <c r="F5" s="257"/>
      <c r="G5" s="259"/>
      <c r="H5" s="773">
        <v>270</v>
      </c>
      <c r="I5" s="774">
        <v>635</v>
      </c>
      <c r="J5" s="258">
        <v>67</v>
      </c>
      <c r="K5" s="258">
        <v>183.53</v>
      </c>
      <c r="L5" s="257">
        <v>1.07</v>
      </c>
      <c r="M5" s="258">
        <v>2.25</v>
      </c>
      <c r="N5" s="257">
        <v>12.41</v>
      </c>
      <c r="O5" s="258">
        <v>36.2</v>
      </c>
      <c r="P5" s="261">
        <v>47.65</v>
      </c>
      <c r="Q5" s="22">
        <v>120.94</v>
      </c>
      <c r="R5" s="261">
        <v>99.25</v>
      </c>
      <c r="S5" s="22">
        <v>256.52</v>
      </c>
      <c r="T5" s="261">
        <v>7.53</v>
      </c>
      <c r="U5" s="22">
        <v>18.45</v>
      </c>
      <c r="V5" s="261">
        <v>275.69</v>
      </c>
      <c r="W5" s="22">
        <v>763.25</v>
      </c>
      <c r="X5" s="261">
        <v>517</v>
      </c>
      <c r="Y5" s="22">
        <v>1179</v>
      </c>
      <c r="Z5" s="450">
        <v>7.11</v>
      </c>
      <c r="AA5" s="831">
        <v>19.73</v>
      </c>
      <c r="AB5" s="32">
        <v>5.93</v>
      </c>
      <c r="AC5" s="258">
        <v>13.28</v>
      </c>
      <c r="AD5" s="257">
        <v>108.4</v>
      </c>
      <c r="AE5" s="258">
        <v>315.43</v>
      </c>
      <c r="AF5" s="260">
        <v>425.1</v>
      </c>
      <c r="AG5" s="258">
        <v>1123.21</v>
      </c>
      <c r="AH5" s="257">
        <v>14.65</v>
      </c>
      <c r="AI5" s="258">
        <v>40.66</v>
      </c>
      <c r="AJ5" s="260">
        <v>83.25</v>
      </c>
      <c r="AK5" s="258">
        <v>233.63</v>
      </c>
      <c r="AL5" s="452"/>
      <c r="AM5" s="258"/>
      <c r="AN5" s="595">
        <v>956</v>
      </c>
      <c r="AO5" s="262">
        <v>2126</v>
      </c>
      <c r="AP5" s="263">
        <v>10.2</v>
      </c>
      <c r="AQ5" s="264">
        <v>20.5</v>
      </c>
      <c r="AR5" s="267">
        <v>-0.03</v>
      </c>
      <c r="AS5" s="265">
        <v>-0.05</v>
      </c>
      <c r="AT5" s="257">
        <v>237.35</v>
      </c>
      <c r="AU5" s="258">
        <v>618.24</v>
      </c>
      <c r="AV5" s="268">
        <f aca="true" t="shared" si="0" ref="AV5:AV18">SUM(B5+D5+F5+H5+J5+L5+N5+P5+R5+T5+V5+X5+Z5+AB5+AD5+AF5+AH5+AJ5+AL5+AN5+AP5+AR5+AT5)</f>
        <v>3356.5799999999995</v>
      </c>
      <c r="AW5" s="266">
        <f aca="true" t="shared" si="1" ref="AW5:AW18">SUM(C5+E5+G5+I5+K5+M5+O5+Q5+S5+U5+W5+Y5+AA5+AC5+AE5+AG5+AI5+AK5+AM5+AO5+AQ5+AS5+AU5)</f>
        <v>8232.86</v>
      </c>
      <c r="AX5" s="267">
        <v>13598.56</v>
      </c>
      <c r="AY5" s="265">
        <v>37796.21</v>
      </c>
      <c r="AZ5" s="268">
        <f aca="true" t="shared" si="2" ref="AZ5:AZ18">AV5+AX5</f>
        <v>16955.14</v>
      </c>
      <c r="BA5" s="269">
        <f aca="true" t="shared" si="3" ref="BA5:BA18">AW5+AY5</f>
        <v>46029.07</v>
      </c>
    </row>
    <row r="6" spans="1:53" ht="17.25">
      <c r="A6" s="75" t="s">
        <v>4</v>
      </c>
      <c r="B6" s="185">
        <v>308</v>
      </c>
      <c r="C6" s="256">
        <v>748</v>
      </c>
      <c r="D6" s="44"/>
      <c r="E6" s="258"/>
      <c r="F6" s="44"/>
      <c r="G6" s="259"/>
      <c r="H6" s="239">
        <v>195</v>
      </c>
      <c r="I6" s="774">
        <v>426</v>
      </c>
      <c r="J6" s="258">
        <v>9</v>
      </c>
      <c r="K6" s="258">
        <v>20.94</v>
      </c>
      <c r="L6" s="257">
        <v>341.73</v>
      </c>
      <c r="M6" s="258">
        <v>829.51</v>
      </c>
      <c r="N6" s="44">
        <v>0.46</v>
      </c>
      <c r="O6" s="258">
        <v>1.53</v>
      </c>
      <c r="P6" s="1">
        <v>15.48</v>
      </c>
      <c r="Q6" s="22">
        <v>36.67</v>
      </c>
      <c r="R6" s="1">
        <v>8.3</v>
      </c>
      <c r="S6" s="22">
        <v>17.39</v>
      </c>
      <c r="T6" s="1">
        <v>3.43</v>
      </c>
      <c r="U6" s="22">
        <v>23.76</v>
      </c>
      <c r="V6" s="1">
        <v>1312.7</v>
      </c>
      <c r="W6" s="22">
        <v>3176.19</v>
      </c>
      <c r="X6" s="1">
        <v>915</v>
      </c>
      <c r="Y6" s="22">
        <v>2121</v>
      </c>
      <c r="Z6" s="172">
        <v>112.63</v>
      </c>
      <c r="AA6" s="831">
        <v>280.11</v>
      </c>
      <c r="AB6" s="12">
        <v>241.38</v>
      </c>
      <c r="AC6" s="258">
        <v>496.73</v>
      </c>
      <c r="AD6" s="44">
        <v>366.41</v>
      </c>
      <c r="AE6" s="258">
        <v>864.16</v>
      </c>
      <c r="AF6" s="48">
        <v>997.57</v>
      </c>
      <c r="AG6" s="258">
        <v>2381.35</v>
      </c>
      <c r="AH6" s="44">
        <v>250.83</v>
      </c>
      <c r="AI6" s="258">
        <v>587.08</v>
      </c>
      <c r="AJ6" s="48">
        <v>2.41</v>
      </c>
      <c r="AK6" s="258">
        <v>6.67</v>
      </c>
      <c r="AL6" s="453"/>
      <c r="AM6" s="258"/>
      <c r="AN6" s="564">
        <v>2709</v>
      </c>
      <c r="AO6" s="262">
        <v>5482</v>
      </c>
      <c r="AP6" s="50">
        <v>1.05</v>
      </c>
      <c r="AQ6" s="264">
        <v>2.33</v>
      </c>
      <c r="AR6" s="54">
        <v>268.08</v>
      </c>
      <c r="AS6" s="265">
        <v>539.33</v>
      </c>
      <c r="AT6" s="44">
        <v>626.68</v>
      </c>
      <c r="AU6" s="258">
        <v>1593.91</v>
      </c>
      <c r="AV6" s="268">
        <f t="shared" si="0"/>
        <v>8685.14</v>
      </c>
      <c r="AW6" s="266">
        <f t="shared" si="1"/>
        <v>19634.660000000003</v>
      </c>
      <c r="AX6" s="54">
        <v>487.14</v>
      </c>
      <c r="AY6" s="265">
        <v>1335.48</v>
      </c>
      <c r="AZ6" s="55">
        <f t="shared" si="2"/>
        <v>9172.279999999999</v>
      </c>
      <c r="BA6" s="187">
        <f t="shared" si="3"/>
        <v>20970.140000000003</v>
      </c>
    </row>
    <row r="7" spans="1:53" ht="17.25">
      <c r="A7" s="75" t="s">
        <v>5</v>
      </c>
      <c r="B7" s="185">
        <v>4</v>
      </c>
      <c r="C7" s="256">
        <v>8</v>
      </c>
      <c r="D7" s="44">
        <v>0.86</v>
      </c>
      <c r="E7" s="258">
        <v>3.4</v>
      </c>
      <c r="F7" s="44"/>
      <c r="G7" s="259"/>
      <c r="H7" s="239">
        <v>11</v>
      </c>
      <c r="I7" s="774">
        <v>46</v>
      </c>
      <c r="J7" s="258">
        <v>27</v>
      </c>
      <c r="K7" s="258">
        <v>65.52</v>
      </c>
      <c r="L7" s="44">
        <v>0.18</v>
      </c>
      <c r="M7" s="45">
        <v>0.32</v>
      </c>
      <c r="N7" s="44">
        <v>1.04</v>
      </c>
      <c r="O7" s="258">
        <v>2.3</v>
      </c>
      <c r="P7" s="1">
        <v>8.57</v>
      </c>
      <c r="Q7" s="22">
        <v>17.94</v>
      </c>
      <c r="R7" s="1">
        <v>2.99</v>
      </c>
      <c r="S7" s="22">
        <v>5.79</v>
      </c>
      <c r="T7" s="1">
        <v>3.33</v>
      </c>
      <c r="U7" s="22">
        <v>7.68</v>
      </c>
      <c r="V7" s="1">
        <v>89.62</v>
      </c>
      <c r="W7" s="22">
        <v>222.22</v>
      </c>
      <c r="X7" s="1">
        <v>94</v>
      </c>
      <c r="Y7" s="22">
        <v>191</v>
      </c>
      <c r="Z7" s="172"/>
      <c r="AA7" s="831"/>
      <c r="AB7" s="12">
        <v>7.38</v>
      </c>
      <c r="AC7" s="258">
        <v>18</v>
      </c>
      <c r="AD7" s="44">
        <v>2.56</v>
      </c>
      <c r="AE7" s="258">
        <v>7.1</v>
      </c>
      <c r="AF7" s="48">
        <v>30.47</v>
      </c>
      <c r="AG7" s="258">
        <v>68.82</v>
      </c>
      <c r="AH7" s="44">
        <v>4.79</v>
      </c>
      <c r="AI7" s="258">
        <v>9.21</v>
      </c>
      <c r="AJ7" s="48">
        <v>14.28</v>
      </c>
      <c r="AK7" s="258">
        <v>26.65</v>
      </c>
      <c r="AL7" s="453"/>
      <c r="AM7" s="258"/>
      <c r="AN7" s="565">
        <v>105</v>
      </c>
      <c r="AO7" s="262">
        <v>211</v>
      </c>
      <c r="AP7" s="50">
        <v>86.02</v>
      </c>
      <c r="AQ7" s="264">
        <v>172.77</v>
      </c>
      <c r="AR7" s="54"/>
      <c r="AS7" s="265"/>
      <c r="AT7" s="44">
        <v>12.24</v>
      </c>
      <c r="AU7" s="258">
        <v>39.58</v>
      </c>
      <c r="AV7" s="268">
        <f t="shared" si="0"/>
        <v>505.33</v>
      </c>
      <c r="AW7" s="266">
        <f t="shared" si="1"/>
        <v>1123.3</v>
      </c>
      <c r="AX7" s="54">
        <v>20.19</v>
      </c>
      <c r="AY7" s="265">
        <v>48.65</v>
      </c>
      <c r="AZ7" s="55">
        <f t="shared" si="2"/>
        <v>525.52</v>
      </c>
      <c r="BA7" s="187">
        <f t="shared" si="3"/>
        <v>1171.95</v>
      </c>
    </row>
    <row r="8" spans="1:53" ht="17.25">
      <c r="A8" s="75" t="s">
        <v>6</v>
      </c>
      <c r="B8" s="185"/>
      <c r="C8" s="256">
        <v>6</v>
      </c>
      <c r="D8" s="44">
        <v>1.25</v>
      </c>
      <c r="E8" s="258">
        <v>3.63</v>
      </c>
      <c r="F8" s="44"/>
      <c r="G8" s="259"/>
      <c r="H8" s="239">
        <v>16</v>
      </c>
      <c r="I8" s="774">
        <v>47</v>
      </c>
      <c r="J8" s="258">
        <v>17</v>
      </c>
      <c r="K8" s="258">
        <v>75.77</v>
      </c>
      <c r="L8" s="44">
        <v>0.86</v>
      </c>
      <c r="M8" s="45">
        <v>2.54</v>
      </c>
      <c r="N8" s="44">
        <v>-0.06</v>
      </c>
      <c r="O8" s="258">
        <v>-0.08</v>
      </c>
      <c r="P8" s="1">
        <v>7.6</v>
      </c>
      <c r="Q8" s="22">
        <v>18.67</v>
      </c>
      <c r="R8" s="1">
        <v>36.35</v>
      </c>
      <c r="S8" s="22">
        <v>75.52</v>
      </c>
      <c r="T8" s="1">
        <v>1.5</v>
      </c>
      <c r="U8" s="22">
        <v>4.39</v>
      </c>
      <c r="V8" s="1">
        <v>122.92</v>
      </c>
      <c r="W8" s="22">
        <v>303.92</v>
      </c>
      <c r="X8" s="1">
        <v>53</v>
      </c>
      <c r="Y8" s="22">
        <v>149</v>
      </c>
      <c r="Z8" s="172">
        <v>5.52</v>
      </c>
      <c r="AA8" s="831">
        <v>11.7</v>
      </c>
      <c r="AB8" s="12">
        <v>1.07</v>
      </c>
      <c r="AC8" s="258">
        <v>2.89</v>
      </c>
      <c r="AD8" s="44">
        <v>13.38</v>
      </c>
      <c r="AE8" s="258">
        <v>32.43</v>
      </c>
      <c r="AF8" s="48">
        <v>2.74</v>
      </c>
      <c r="AG8" s="258">
        <v>7.81</v>
      </c>
      <c r="AH8" s="44">
        <v>19.93</v>
      </c>
      <c r="AI8" s="258">
        <v>38.13</v>
      </c>
      <c r="AJ8" s="48">
        <v>8.97</v>
      </c>
      <c r="AK8" s="258">
        <v>21.33</v>
      </c>
      <c r="AL8" s="453"/>
      <c r="AM8" s="258"/>
      <c r="AN8" s="565"/>
      <c r="AO8" s="262">
        <v>1</v>
      </c>
      <c r="AP8" s="50">
        <v>10.22</v>
      </c>
      <c r="AQ8" s="264">
        <v>31.55</v>
      </c>
      <c r="AR8" s="54">
        <v>-0.02</v>
      </c>
      <c r="AS8" s="265">
        <v>-0.02</v>
      </c>
      <c r="AT8" s="44">
        <v>57.2</v>
      </c>
      <c r="AU8" s="258">
        <v>145.41</v>
      </c>
      <c r="AV8" s="268">
        <f t="shared" si="0"/>
        <v>375.43000000000006</v>
      </c>
      <c r="AW8" s="266">
        <f t="shared" si="1"/>
        <v>978.5899999999998</v>
      </c>
      <c r="AX8" s="54">
        <v>11.74</v>
      </c>
      <c r="AY8" s="265">
        <v>29.85</v>
      </c>
      <c r="AZ8" s="55">
        <f t="shared" si="2"/>
        <v>387.1700000000001</v>
      </c>
      <c r="BA8" s="187">
        <f t="shared" si="3"/>
        <v>1008.4399999999998</v>
      </c>
    </row>
    <row r="9" spans="1:53" ht="17.25">
      <c r="A9" s="75" t="s">
        <v>7</v>
      </c>
      <c r="B9" s="63"/>
      <c r="C9" s="256"/>
      <c r="D9" s="55"/>
      <c r="E9" s="258"/>
      <c r="F9" s="55"/>
      <c r="G9" s="259"/>
      <c r="H9" s="56"/>
      <c r="I9" s="774"/>
      <c r="J9" s="258"/>
      <c r="K9" s="258"/>
      <c r="L9" s="55"/>
      <c r="M9" s="45"/>
      <c r="N9" s="55"/>
      <c r="O9" s="258"/>
      <c r="P9" s="3"/>
      <c r="Q9" s="22"/>
      <c r="R9" s="3"/>
      <c r="S9" s="22"/>
      <c r="T9" s="3"/>
      <c r="U9" s="22"/>
      <c r="V9" s="3"/>
      <c r="W9" s="22"/>
      <c r="X9" s="3"/>
      <c r="Y9" s="22"/>
      <c r="Z9" s="172"/>
      <c r="AA9" s="831"/>
      <c r="AB9" s="19"/>
      <c r="AC9" s="258"/>
      <c r="AD9" s="451">
        <v>0.01</v>
      </c>
      <c r="AE9" s="258">
        <v>0.03</v>
      </c>
      <c r="AF9" s="53"/>
      <c r="AG9" s="258"/>
      <c r="AH9" s="55"/>
      <c r="AI9" s="258"/>
      <c r="AJ9" s="53"/>
      <c r="AK9" s="258"/>
      <c r="AL9" s="453"/>
      <c r="AM9" s="258"/>
      <c r="AN9" s="566"/>
      <c r="AO9" s="262"/>
      <c r="AP9" s="50"/>
      <c r="AQ9" s="264"/>
      <c r="AR9" s="54"/>
      <c r="AS9" s="265"/>
      <c r="AT9" s="55">
        <v>0.23</v>
      </c>
      <c r="AU9" s="258">
        <v>0.6</v>
      </c>
      <c r="AV9" s="268">
        <f t="shared" si="0"/>
        <v>0.24000000000000002</v>
      </c>
      <c r="AW9" s="266">
        <f t="shared" si="1"/>
        <v>0.63</v>
      </c>
      <c r="AX9" s="55">
        <v>119.91</v>
      </c>
      <c r="AY9" s="265">
        <v>231.84</v>
      </c>
      <c r="AZ9" s="55">
        <f t="shared" si="2"/>
        <v>120.14999999999999</v>
      </c>
      <c r="BA9" s="187">
        <f t="shared" si="3"/>
        <v>232.47</v>
      </c>
    </row>
    <row r="10" spans="1:53" ht="17.25">
      <c r="A10" s="75" t="s">
        <v>15</v>
      </c>
      <c r="B10" s="185"/>
      <c r="C10" s="256"/>
      <c r="D10" s="44"/>
      <c r="E10" s="258"/>
      <c r="F10" s="44"/>
      <c r="G10" s="259"/>
      <c r="H10" s="239"/>
      <c r="I10" s="774"/>
      <c r="J10" s="258"/>
      <c r="K10" s="258"/>
      <c r="L10" s="44"/>
      <c r="M10" s="45"/>
      <c r="N10" s="44"/>
      <c r="O10" s="258"/>
      <c r="P10" s="1"/>
      <c r="Q10" s="22"/>
      <c r="R10" s="1"/>
      <c r="S10" s="22"/>
      <c r="T10" s="1"/>
      <c r="U10" s="22"/>
      <c r="V10" s="1"/>
      <c r="W10" s="22"/>
      <c r="X10" s="1"/>
      <c r="Y10" s="22"/>
      <c r="Z10" s="1"/>
      <c r="AA10" s="831"/>
      <c r="AB10" s="12">
        <v>1.28</v>
      </c>
      <c r="AC10" s="258">
        <v>17.44</v>
      </c>
      <c r="AD10" s="44"/>
      <c r="AE10" s="258"/>
      <c r="AF10" s="48"/>
      <c r="AG10" s="258"/>
      <c r="AH10" s="44"/>
      <c r="AI10" s="258"/>
      <c r="AJ10" s="48"/>
      <c r="AK10" s="258"/>
      <c r="AL10" s="453"/>
      <c r="AM10" s="258"/>
      <c r="AN10" s="566"/>
      <c r="AO10" s="262"/>
      <c r="AP10" s="50"/>
      <c r="AQ10" s="264"/>
      <c r="AR10" s="54"/>
      <c r="AS10" s="265"/>
      <c r="AT10" s="44"/>
      <c r="AU10" s="258"/>
      <c r="AV10" s="268">
        <f t="shared" si="0"/>
        <v>1.28</v>
      </c>
      <c r="AW10" s="266">
        <f t="shared" si="1"/>
        <v>17.44</v>
      </c>
      <c r="AX10" s="54"/>
      <c r="AY10" s="265"/>
      <c r="AZ10" s="55">
        <f t="shared" si="2"/>
        <v>1.28</v>
      </c>
      <c r="BA10" s="187">
        <f t="shared" si="3"/>
        <v>17.44</v>
      </c>
    </row>
    <row r="11" spans="1:53" ht="17.25">
      <c r="A11" s="75" t="s">
        <v>8</v>
      </c>
      <c r="B11" s="185">
        <v>22</v>
      </c>
      <c r="C11" s="256">
        <v>49</v>
      </c>
      <c r="D11" s="44">
        <v>6.63</v>
      </c>
      <c r="E11" s="258">
        <v>23.37</v>
      </c>
      <c r="F11" s="44"/>
      <c r="G11" s="259"/>
      <c r="H11" s="239">
        <v>80</v>
      </c>
      <c r="I11" s="774">
        <v>181</v>
      </c>
      <c r="J11" s="258">
        <v>29</v>
      </c>
      <c r="K11" s="258">
        <v>71</v>
      </c>
      <c r="L11" s="44">
        <v>8.97</v>
      </c>
      <c r="M11" s="45">
        <v>22.37</v>
      </c>
      <c r="N11" s="44">
        <v>14.3</v>
      </c>
      <c r="O11" s="258">
        <v>46.12</v>
      </c>
      <c r="P11" s="1">
        <v>17.57</v>
      </c>
      <c r="Q11" s="22">
        <v>53.22</v>
      </c>
      <c r="R11" s="1">
        <v>11.73</v>
      </c>
      <c r="S11" s="22">
        <v>32.94</v>
      </c>
      <c r="T11" s="1">
        <v>55.29</v>
      </c>
      <c r="U11" s="22">
        <v>133.1</v>
      </c>
      <c r="V11" s="1">
        <v>772.14</v>
      </c>
      <c r="W11" s="22">
        <v>2274.76</v>
      </c>
      <c r="X11" s="1">
        <v>334</v>
      </c>
      <c r="Y11" s="22">
        <v>824</v>
      </c>
      <c r="Z11" s="1">
        <v>6.68</v>
      </c>
      <c r="AA11" s="831">
        <v>14.17</v>
      </c>
      <c r="AB11" s="12">
        <v>6.92</v>
      </c>
      <c r="AC11" s="258">
        <v>3.4</v>
      </c>
      <c r="AD11" s="44">
        <v>145.04</v>
      </c>
      <c r="AE11" s="258">
        <v>364.16</v>
      </c>
      <c r="AF11" s="48">
        <v>124.25</v>
      </c>
      <c r="AG11" s="258">
        <v>336.11</v>
      </c>
      <c r="AH11" s="44">
        <v>100.12</v>
      </c>
      <c r="AI11" s="258">
        <v>244.61</v>
      </c>
      <c r="AJ11" s="48">
        <v>141.06</v>
      </c>
      <c r="AK11" s="258">
        <v>331.9</v>
      </c>
      <c r="AL11" s="453"/>
      <c r="AM11" s="258"/>
      <c r="AN11" s="565">
        <v>152</v>
      </c>
      <c r="AO11" s="262">
        <v>308</v>
      </c>
      <c r="AP11" s="50">
        <v>42.37</v>
      </c>
      <c r="AQ11" s="264">
        <v>123.83</v>
      </c>
      <c r="AR11" s="54">
        <v>4.78</v>
      </c>
      <c r="AS11" s="265">
        <v>12.58</v>
      </c>
      <c r="AT11" s="44">
        <v>29.59</v>
      </c>
      <c r="AU11" s="258">
        <v>88.9</v>
      </c>
      <c r="AV11" s="268">
        <f t="shared" si="0"/>
        <v>2104.4400000000005</v>
      </c>
      <c r="AW11" s="266">
        <f t="shared" si="1"/>
        <v>5538.539999999999</v>
      </c>
      <c r="AX11" s="54">
        <v>348.78</v>
      </c>
      <c r="AY11" s="265">
        <v>1038.96</v>
      </c>
      <c r="AZ11" s="55">
        <f t="shared" si="2"/>
        <v>2453.2200000000003</v>
      </c>
      <c r="BA11" s="187">
        <f t="shared" si="3"/>
        <v>6577.499999999999</v>
      </c>
    </row>
    <row r="12" spans="1:53" ht="17.25">
      <c r="A12" s="75" t="s">
        <v>16</v>
      </c>
      <c r="B12" s="185"/>
      <c r="C12" s="256"/>
      <c r="D12" s="44"/>
      <c r="E12" s="258"/>
      <c r="F12" s="44"/>
      <c r="G12" s="46"/>
      <c r="H12" s="239">
        <v>5</v>
      </c>
      <c r="I12" s="774">
        <v>28</v>
      </c>
      <c r="J12" s="45"/>
      <c r="K12" s="45"/>
      <c r="L12" s="44"/>
      <c r="M12" s="45"/>
      <c r="N12" s="254"/>
      <c r="O12" s="45"/>
      <c r="P12" s="1"/>
      <c r="Q12" s="47"/>
      <c r="R12" s="1">
        <v>2.43</v>
      </c>
      <c r="S12" s="22">
        <v>11.51</v>
      </c>
      <c r="T12" s="1"/>
      <c r="U12" s="2">
        <v>0.1</v>
      </c>
      <c r="V12" s="1"/>
      <c r="W12" s="22"/>
      <c r="X12" s="1"/>
      <c r="Y12" s="22"/>
      <c r="Z12" s="1"/>
      <c r="AA12" s="832"/>
      <c r="AB12" s="12"/>
      <c r="AC12" s="45"/>
      <c r="AD12" s="44">
        <v>0.17</v>
      </c>
      <c r="AE12" s="258">
        <v>0.19</v>
      </c>
      <c r="AF12" s="48"/>
      <c r="AG12" s="258"/>
      <c r="AH12" s="44"/>
      <c r="AI12" s="258"/>
      <c r="AJ12" s="48"/>
      <c r="AK12" s="258"/>
      <c r="AL12" s="453"/>
      <c r="AM12" s="258"/>
      <c r="AN12" s="565"/>
      <c r="AO12" s="49"/>
      <c r="AP12" s="50"/>
      <c r="AQ12" s="51"/>
      <c r="AR12" s="54"/>
      <c r="AS12" s="52"/>
      <c r="AT12" s="44"/>
      <c r="AU12" s="45"/>
      <c r="AV12" s="268">
        <f t="shared" si="0"/>
        <v>7.6</v>
      </c>
      <c r="AW12" s="266">
        <f t="shared" si="1"/>
        <v>39.8</v>
      </c>
      <c r="AX12" s="54"/>
      <c r="AY12" s="265"/>
      <c r="AZ12" s="55">
        <f t="shared" si="2"/>
        <v>7.6</v>
      </c>
      <c r="BA12" s="187">
        <f t="shared" si="3"/>
        <v>39.8</v>
      </c>
    </row>
    <row r="13" spans="1:53" ht="17.25">
      <c r="A13" s="75" t="s">
        <v>17</v>
      </c>
      <c r="B13" s="185"/>
      <c r="C13" s="256"/>
      <c r="D13" s="44"/>
      <c r="E13" s="258">
        <v>0.03</v>
      </c>
      <c r="F13" s="44"/>
      <c r="G13" s="46"/>
      <c r="H13" s="239"/>
      <c r="I13" s="774"/>
      <c r="J13" s="45"/>
      <c r="K13" s="45"/>
      <c r="L13" s="44"/>
      <c r="M13" s="45"/>
      <c r="N13" s="44"/>
      <c r="O13" s="45"/>
      <c r="P13" s="1"/>
      <c r="Q13" s="47"/>
      <c r="R13" s="1"/>
      <c r="S13" s="22"/>
      <c r="T13" s="1"/>
      <c r="U13" s="2"/>
      <c r="V13" s="1">
        <v>0.44</v>
      </c>
      <c r="W13" s="22">
        <v>2.41</v>
      </c>
      <c r="X13" s="1">
        <v>4</v>
      </c>
      <c r="Y13" s="22">
        <v>27</v>
      </c>
      <c r="Z13" s="1"/>
      <c r="AA13" s="832"/>
      <c r="AB13" s="12"/>
      <c r="AC13" s="45"/>
      <c r="AD13" s="44"/>
      <c r="AE13" s="45"/>
      <c r="AF13" s="48"/>
      <c r="AG13" s="45"/>
      <c r="AH13" s="44"/>
      <c r="AI13" s="258"/>
      <c r="AJ13" s="48"/>
      <c r="AK13" s="258"/>
      <c r="AL13" s="453"/>
      <c r="AM13" s="258"/>
      <c r="AN13" s="565"/>
      <c r="AO13" s="49"/>
      <c r="AP13" s="50"/>
      <c r="AQ13" s="51"/>
      <c r="AR13" s="54"/>
      <c r="AS13" s="52"/>
      <c r="AT13" s="44"/>
      <c r="AU13" s="45"/>
      <c r="AV13" s="268">
        <f t="shared" si="0"/>
        <v>4.44</v>
      </c>
      <c r="AW13" s="266">
        <f t="shared" si="1"/>
        <v>29.44</v>
      </c>
      <c r="AX13" s="54">
        <v>9.72</v>
      </c>
      <c r="AY13" s="265">
        <v>20.8</v>
      </c>
      <c r="AZ13" s="55">
        <f t="shared" si="2"/>
        <v>14.16</v>
      </c>
      <c r="BA13" s="187">
        <f t="shared" si="3"/>
        <v>50.24</v>
      </c>
    </row>
    <row r="14" spans="1:53" ht="17.25">
      <c r="A14" s="75" t="s">
        <v>139</v>
      </c>
      <c r="B14" s="185"/>
      <c r="C14" s="256"/>
      <c r="D14" s="44"/>
      <c r="E14" s="258"/>
      <c r="F14" s="44"/>
      <c r="G14" s="46"/>
      <c r="H14" s="239">
        <v>4</v>
      </c>
      <c r="I14" s="774">
        <v>26</v>
      </c>
      <c r="J14" s="45"/>
      <c r="K14" s="45"/>
      <c r="L14" s="44"/>
      <c r="M14" s="45"/>
      <c r="N14" s="44"/>
      <c r="O14" s="45"/>
      <c r="P14" s="1"/>
      <c r="Q14" s="47"/>
      <c r="R14" s="1"/>
      <c r="S14" s="2"/>
      <c r="T14" s="1"/>
      <c r="U14" s="2"/>
      <c r="V14" s="1"/>
      <c r="W14" s="22"/>
      <c r="X14" s="1">
        <v>35</v>
      </c>
      <c r="Y14" s="22">
        <v>91</v>
      </c>
      <c r="Z14" s="1"/>
      <c r="AA14" s="832"/>
      <c r="AB14" s="12"/>
      <c r="AC14" s="45"/>
      <c r="AD14" s="44"/>
      <c r="AE14" s="45"/>
      <c r="AF14" s="48"/>
      <c r="AG14" s="45"/>
      <c r="AH14" s="44"/>
      <c r="AI14" s="258"/>
      <c r="AJ14" s="48"/>
      <c r="AK14" s="258"/>
      <c r="AL14" s="453"/>
      <c r="AM14" s="258"/>
      <c r="AN14" s="565"/>
      <c r="AO14" s="49"/>
      <c r="AP14" s="50"/>
      <c r="AQ14" s="51"/>
      <c r="AR14" s="54"/>
      <c r="AS14" s="52"/>
      <c r="AT14" s="44"/>
      <c r="AU14" s="45"/>
      <c r="AV14" s="268">
        <f t="shared" si="0"/>
        <v>39</v>
      </c>
      <c r="AW14" s="266">
        <f t="shared" si="1"/>
        <v>117</v>
      </c>
      <c r="AX14" s="54"/>
      <c r="AY14" s="52"/>
      <c r="AZ14" s="55">
        <f t="shared" si="2"/>
        <v>39</v>
      </c>
      <c r="BA14" s="187">
        <f t="shared" si="3"/>
        <v>117</v>
      </c>
    </row>
    <row r="15" spans="1:53" ht="18" thickBot="1">
      <c r="A15" s="188" t="s">
        <v>19</v>
      </c>
      <c r="B15" s="210"/>
      <c r="C15" s="256"/>
      <c r="D15" s="189"/>
      <c r="E15" s="258"/>
      <c r="F15" s="189"/>
      <c r="G15" s="191"/>
      <c r="H15" s="775">
        <v>39</v>
      </c>
      <c r="I15" s="774">
        <v>120</v>
      </c>
      <c r="J15" s="190">
        <v>0.02</v>
      </c>
      <c r="K15" s="190">
        <v>0.97</v>
      </c>
      <c r="L15" s="189"/>
      <c r="M15" s="190"/>
      <c r="N15" s="189"/>
      <c r="O15" s="190"/>
      <c r="P15" s="211">
        <v>0.93</v>
      </c>
      <c r="Q15" s="212">
        <v>3.46</v>
      </c>
      <c r="R15" s="211"/>
      <c r="S15" s="214"/>
      <c r="T15" s="211"/>
      <c r="U15" s="214"/>
      <c r="V15" s="211">
        <v>15.24</v>
      </c>
      <c r="W15" s="22">
        <v>47.46</v>
      </c>
      <c r="X15" s="211">
        <v>12</v>
      </c>
      <c r="Y15" s="22">
        <v>42</v>
      </c>
      <c r="Z15" s="211"/>
      <c r="AA15" s="833"/>
      <c r="AB15" s="213"/>
      <c r="AC15" s="190"/>
      <c r="AD15" s="189"/>
      <c r="AE15" s="190"/>
      <c r="AF15" s="192"/>
      <c r="AG15" s="190"/>
      <c r="AH15" s="189">
        <v>4.86</v>
      </c>
      <c r="AI15" s="258">
        <v>12.62</v>
      </c>
      <c r="AJ15" s="192">
        <v>0.04</v>
      </c>
      <c r="AK15" s="258">
        <v>0.14</v>
      </c>
      <c r="AL15" s="454"/>
      <c r="AM15" s="258"/>
      <c r="AN15" s="596"/>
      <c r="AO15" s="215"/>
      <c r="AP15" s="193">
        <v>0.02</v>
      </c>
      <c r="AQ15" s="194">
        <v>0.42</v>
      </c>
      <c r="AR15" s="196"/>
      <c r="AS15" s="195"/>
      <c r="AT15" s="189">
        <v>18.61</v>
      </c>
      <c r="AU15" s="190">
        <v>62.43</v>
      </c>
      <c r="AV15" s="268">
        <f t="shared" si="0"/>
        <v>90.72</v>
      </c>
      <c r="AW15" s="266">
        <f t="shared" si="1"/>
        <v>289.49999999999994</v>
      </c>
      <c r="AX15" s="196"/>
      <c r="AY15" s="195"/>
      <c r="AZ15" s="197">
        <f t="shared" si="2"/>
        <v>90.72</v>
      </c>
      <c r="BA15" s="198">
        <f t="shared" si="3"/>
        <v>289.49999999999994</v>
      </c>
    </row>
    <row r="16" spans="1:58" s="307" customFormat="1" ht="18.75" thickBot="1">
      <c r="A16" s="298" t="s">
        <v>20</v>
      </c>
      <c r="B16" s="299">
        <f>SUM(B5:B15)</f>
        <v>545</v>
      </c>
      <c r="C16" s="299">
        <f aca="true" t="shared" si="4" ref="C16:AH16">SUM(C5:C15)</f>
        <v>1338</v>
      </c>
      <c r="D16" s="301">
        <f t="shared" si="4"/>
        <v>8.76</v>
      </c>
      <c r="E16" s="299">
        <f t="shared" si="4"/>
        <v>30.520000000000003</v>
      </c>
      <c r="F16" s="301">
        <f t="shared" si="4"/>
        <v>0</v>
      </c>
      <c r="G16" s="300">
        <f t="shared" si="4"/>
        <v>0</v>
      </c>
      <c r="H16" s="301">
        <f t="shared" si="4"/>
        <v>620</v>
      </c>
      <c r="I16" s="302">
        <f t="shared" si="4"/>
        <v>1509</v>
      </c>
      <c r="J16" s="301">
        <f t="shared" si="4"/>
        <v>149.02</v>
      </c>
      <c r="K16" s="299">
        <f t="shared" si="4"/>
        <v>417.73</v>
      </c>
      <c r="L16" s="301">
        <f t="shared" si="4"/>
        <v>352.81000000000006</v>
      </c>
      <c r="M16" s="299">
        <f t="shared" si="4"/>
        <v>856.99</v>
      </c>
      <c r="N16" s="301">
        <f t="shared" si="4"/>
        <v>28.15</v>
      </c>
      <c r="O16" s="299">
        <f t="shared" si="4"/>
        <v>86.07</v>
      </c>
      <c r="P16" s="301">
        <f t="shared" si="4"/>
        <v>97.79999999999998</v>
      </c>
      <c r="Q16" s="299">
        <f t="shared" si="4"/>
        <v>250.90000000000003</v>
      </c>
      <c r="R16" s="301">
        <f t="shared" si="4"/>
        <v>161.04999999999998</v>
      </c>
      <c r="S16" s="299">
        <f t="shared" si="4"/>
        <v>399.66999999999996</v>
      </c>
      <c r="T16" s="301">
        <f t="shared" si="4"/>
        <v>71.08</v>
      </c>
      <c r="U16" s="299">
        <f t="shared" si="4"/>
        <v>187.48</v>
      </c>
      <c r="V16" s="301">
        <f t="shared" si="4"/>
        <v>2588.75</v>
      </c>
      <c r="W16" s="299">
        <f t="shared" si="4"/>
        <v>6790.21</v>
      </c>
      <c r="X16" s="301">
        <f t="shared" si="4"/>
        <v>1964</v>
      </c>
      <c r="Y16" s="299">
        <f t="shared" si="4"/>
        <v>4624</v>
      </c>
      <c r="Z16" s="301">
        <f t="shared" si="4"/>
        <v>131.94</v>
      </c>
      <c r="AA16" s="302">
        <f t="shared" si="4"/>
        <v>325.71000000000004</v>
      </c>
      <c r="AB16" s="299">
        <f t="shared" si="4"/>
        <v>263.96</v>
      </c>
      <c r="AC16" s="299">
        <f t="shared" si="4"/>
        <v>551.74</v>
      </c>
      <c r="AD16" s="301">
        <f t="shared" si="4"/>
        <v>635.97</v>
      </c>
      <c r="AE16" s="299">
        <f t="shared" si="4"/>
        <v>1583.5</v>
      </c>
      <c r="AF16" s="299">
        <f t="shared" si="4"/>
        <v>1580.13</v>
      </c>
      <c r="AG16" s="299">
        <f t="shared" si="4"/>
        <v>3917.3</v>
      </c>
      <c r="AH16" s="301">
        <f t="shared" si="4"/>
        <v>395.18000000000006</v>
      </c>
      <c r="AI16" s="299">
        <f aca="true" t="shared" si="5" ref="AI16:AU16">SUM(AI5:AI15)</f>
        <v>932.3100000000001</v>
      </c>
      <c r="AJ16" s="299">
        <f t="shared" si="5"/>
        <v>250.01</v>
      </c>
      <c r="AK16" s="299">
        <f t="shared" si="5"/>
        <v>620.3199999999999</v>
      </c>
      <c r="AL16" s="301">
        <f t="shared" si="5"/>
        <v>0</v>
      </c>
      <c r="AM16" s="299">
        <f t="shared" si="5"/>
        <v>0</v>
      </c>
      <c r="AN16" s="301">
        <f t="shared" si="5"/>
        <v>3922</v>
      </c>
      <c r="AO16" s="299">
        <f t="shared" si="5"/>
        <v>8128</v>
      </c>
      <c r="AP16" s="301">
        <f t="shared" si="5"/>
        <v>149.88</v>
      </c>
      <c r="AQ16" s="299">
        <f t="shared" si="5"/>
        <v>351.40000000000003</v>
      </c>
      <c r="AR16" s="301">
        <f t="shared" si="5"/>
        <v>272.81</v>
      </c>
      <c r="AS16" s="299">
        <f t="shared" si="5"/>
        <v>551.8400000000001</v>
      </c>
      <c r="AT16" s="301">
        <f t="shared" si="5"/>
        <v>981.9000000000001</v>
      </c>
      <c r="AU16" s="299">
        <f t="shared" si="5"/>
        <v>2549.0699999999997</v>
      </c>
      <c r="AV16" s="305">
        <f t="shared" si="0"/>
        <v>15170.199999999999</v>
      </c>
      <c r="AW16" s="303">
        <f t="shared" si="1"/>
        <v>36001.76</v>
      </c>
      <c r="AX16" s="304">
        <f>SUM(AX5:AX15)</f>
        <v>14596.039999999999</v>
      </c>
      <c r="AY16" s="304">
        <f>SUM(AY5:AY15)</f>
        <v>40501.79</v>
      </c>
      <c r="AZ16" s="305">
        <f t="shared" si="2"/>
        <v>29766.239999999998</v>
      </c>
      <c r="BA16" s="306">
        <f t="shared" si="3"/>
        <v>76503.55</v>
      </c>
      <c r="BB16" s="578"/>
      <c r="BC16" s="578"/>
      <c r="BD16" s="578"/>
      <c r="BE16" s="578"/>
      <c r="BF16" s="578"/>
    </row>
    <row r="17" spans="1:53" ht="18" thickBot="1">
      <c r="A17" s="216" t="s">
        <v>11</v>
      </c>
      <c r="B17" s="217"/>
      <c r="C17" s="218"/>
      <c r="D17" s="199">
        <v>-0.01</v>
      </c>
      <c r="E17" s="200">
        <v>-0.01</v>
      </c>
      <c r="F17" s="199"/>
      <c r="G17" s="772"/>
      <c r="H17" s="199"/>
      <c r="I17" s="201"/>
      <c r="J17" s="199"/>
      <c r="K17" s="200"/>
      <c r="L17" s="199"/>
      <c r="M17" s="200"/>
      <c r="N17" s="199"/>
      <c r="O17" s="199"/>
      <c r="P17" s="219"/>
      <c r="Q17" s="220"/>
      <c r="R17" s="219">
        <v>2.31</v>
      </c>
      <c r="S17" s="219">
        <v>6.26</v>
      </c>
      <c r="T17" s="219"/>
      <c r="U17" s="221"/>
      <c r="V17" s="219"/>
      <c r="W17" s="221"/>
      <c r="X17" s="219"/>
      <c r="Y17" s="221"/>
      <c r="Z17" s="219"/>
      <c r="AA17" s="834"/>
      <c r="AB17" s="202"/>
      <c r="AC17" s="200"/>
      <c r="AD17" s="199">
        <v>0.19</v>
      </c>
      <c r="AE17" s="199">
        <v>0.62</v>
      </c>
      <c r="AF17" s="202"/>
      <c r="AG17" s="200"/>
      <c r="AH17" s="199"/>
      <c r="AI17" s="199"/>
      <c r="AJ17" s="202"/>
      <c r="AK17" s="200"/>
      <c r="AL17" s="455"/>
      <c r="AM17" s="200"/>
      <c r="AN17" s="597"/>
      <c r="AO17" s="222"/>
      <c r="AP17" s="203"/>
      <c r="AQ17" s="204"/>
      <c r="AR17" s="207"/>
      <c r="AS17" s="205"/>
      <c r="AT17" s="199"/>
      <c r="AU17" s="200"/>
      <c r="AV17" s="208">
        <f t="shared" si="0"/>
        <v>2.49</v>
      </c>
      <c r="AW17" s="206">
        <f t="shared" si="1"/>
        <v>6.87</v>
      </c>
      <c r="AX17" s="207"/>
      <c r="AY17" s="205"/>
      <c r="AZ17" s="208">
        <f t="shared" si="2"/>
        <v>2.49</v>
      </c>
      <c r="BA17" s="209">
        <f t="shared" si="3"/>
        <v>6.87</v>
      </c>
    </row>
    <row r="18" spans="1:58" s="307" customFormat="1" ht="18.75" thickBot="1">
      <c r="A18" s="308" t="s">
        <v>12</v>
      </c>
      <c r="B18" s="309">
        <f>B16+B17</f>
        <v>545</v>
      </c>
      <c r="C18" s="309">
        <f aca="true" t="shared" si="6" ref="C18:AH18">C16+C17</f>
        <v>1338</v>
      </c>
      <c r="D18" s="311">
        <f t="shared" si="6"/>
        <v>8.75</v>
      </c>
      <c r="E18" s="309">
        <f t="shared" si="6"/>
        <v>30.51</v>
      </c>
      <c r="F18" s="311">
        <f t="shared" si="6"/>
        <v>0</v>
      </c>
      <c r="G18" s="310">
        <f t="shared" si="6"/>
        <v>0</v>
      </c>
      <c r="H18" s="311">
        <f t="shared" si="6"/>
        <v>620</v>
      </c>
      <c r="I18" s="312">
        <f t="shared" si="6"/>
        <v>1509</v>
      </c>
      <c r="J18" s="311">
        <f t="shared" si="6"/>
        <v>149.02</v>
      </c>
      <c r="K18" s="309">
        <f t="shared" si="6"/>
        <v>417.73</v>
      </c>
      <c r="L18" s="311">
        <f t="shared" si="6"/>
        <v>352.81000000000006</v>
      </c>
      <c r="M18" s="309">
        <f t="shared" si="6"/>
        <v>856.99</v>
      </c>
      <c r="N18" s="311">
        <f t="shared" si="6"/>
        <v>28.15</v>
      </c>
      <c r="O18" s="309">
        <f t="shared" si="6"/>
        <v>86.07</v>
      </c>
      <c r="P18" s="311">
        <f t="shared" si="6"/>
        <v>97.79999999999998</v>
      </c>
      <c r="Q18" s="309">
        <f t="shared" si="6"/>
        <v>250.90000000000003</v>
      </c>
      <c r="R18" s="311">
        <f t="shared" si="6"/>
        <v>163.35999999999999</v>
      </c>
      <c r="S18" s="309">
        <f t="shared" si="6"/>
        <v>405.92999999999995</v>
      </c>
      <c r="T18" s="311">
        <f t="shared" si="6"/>
        <v>71.08</v>
      </c>
      <c r="U18" s="309">
        <f t="shared" si="6"/>
        <v>187.48</v>
      </c>
      <c r="V18" s="311">
        <f t="shared" si="6"/>
        <v>2588.75</v>
      </c>
      <c r="W18" s="309">
        <f t="shared" si="6"/>
        <v>6790.21</v>
      </c>
      <c r="X18" s="311">
        <f t="shared" si="6"/>
        <v>1964</v>
      </c>
      <c r="Y18" s="309">
        <f t="shared" si="6"/>
        <v>4624</v>
      </c>
      <c r="Z18" s="311">
        <f t="shared" si="6"/>
        <v>131.94</v>
      </c>
      <c r="AA18" s="312">
        <f t="shared" si="6"/>
        <v>325.71000000000004</v>
      </c>
      <c r="AB18" s="309">
        <f t="shared" si="6"/>
        <v>263.96</v>
      </c>
      <c r="AC18" s="309">
        <f t="shared" si="6"/>
        <v>551.74</v>
      </c>
      <c r="AD18" s="311">
        <f t="shared" si="6"/>
        <v>636.1600000000001</v>
      </c>
      <c r="AE18" s="309">
        <f t="shared" si="6"/>
        <v>1584.12</v>
      </c>
      <c r="AF18" s="309">
        <f t="shared" si="6"/>
        <v>1580.13</v>
      </c>
      <c r="AG18" s="309">
        <f t="shared" si="6"/>
        <v>3917.3</v>
      </c>
      <c r="AH18" s="311">
        <f t="shared" si="6"/>
        <v>395.18000000000006</v>
      </c>
      <c r="AI18" s="309">
        <f aca="true" t="shared" si="7" ref="AI18:AU18">AI16+AI17</f>
        <v>932.3100000000001</v>
      </c>
      <c r="AJ18" s="309">
        <f t="shared" si="7"/>
        <v>250.01</v>
      </c>
      <c r="AK18" s="309">
        <f t="shared" si="7"/>
        <v>620.3199999999999</v>
      </c>
      <c r="AL18" s="311">
        <f t="shared" si="7"/>
        <v>0</v>
      </c>
      <c r="AM18" s="309">
        <f t="shared" si="7"/>
        <v>0</v>
      </c>
      <c r="AN18" s="311">
        <f t="shared" si="7"/>
        <v>3922</v>
      </c>
      <c r="AO18" s="309">
        <f t="shared" si="7"/>
        <v>8128</v>
      </c>
      <c r="AP18" s="311">
        <f t="shared" si="7"/>
        <v>149.88</v>
      </c>
      <c r="AQ18" s="309">
        <f t="shared" si="7"/>
        <v>351.40000000000003</v>
      </c>
      <c r="AR18" s="311">
        <f t="shared" si="7"/>
        <v>272.81</v>
      </c>
      <c r="AS18" s="309">
        <f t="shared" si="7"/>
        <v>551.8400000000001</v>
      </c>
      <c r="AT18" s="311">
        <f t="shared" si="7"/>
        <v>981.9000000000001</v>
      </c>
      <c r="AU18" s="309">
        <f t="shared" si="7"/>
        <v>2549.0699999999997</v>
      </c>
      <c r="AV18" s="314">
        <f t="shared" si="0"/>
        <v>15172.689999999999</v>
      </c>
      <c r="AW18" s="313">
        <f t="shared" si="1"/>
        <v>36008.63</v>
      </c>
      <c r="AX18" s="314">
        <f>AX16+AX17</f>
        <v>14596.039999999999</v>
      </c>
      <c r="AY18" s="314">
        <f>AY16+AY17</f>
        <v>40501.79</v>
      </c>
      <c r="AZ18" s="314">
        <f t="shared" si="2"/>
        <v>29768.729999999996</v>
      </c>
      <c r="BA18" s="315">
        <f t="shared" si="3"/>
        <v>76510.42</v>
      </c>
      <c r="BB18" s="578"/>
      <c r="BC18" s="578"/>
      <c r="BD18" s="578"/>
      <c r="BE18" s="578"/>
      <c r="BF18" s="578"/>
    </row>
    <row r="19" spans="46:47" ht="16.5">
      <c r="AT19" s="57"/>
      <c r="AU19" s="57"/>
    </row>
  </sheetData>
  <sheetProtection/>
  <mergeCells count="29">
    <mergeCell ref="J3:K3"/>
    <mergeCell ref="L3:M3"/>
    <mergeCell ref="N3:O3"/>
    <mergeCell ref="AB3:AC3"/>
    <mergeCell ref="AD3:AE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  <mergeCell ref="AL3:AM3"/>
  </mergeCell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BB1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14" sqref="E14"/>
    </sheetView>
  </sheetViews>
  <sheetFormatPr defaultColWidth="9.140625" defaultRowHeight="15"/>
  <cols>
    <col min="1" max="1" width="22.28125" style="6" bestFit="1" customWidth="1"/>
    <col min="2" max="2" width="13.8515625" style="6" bestFit="1" customWidth="1"/>
    <col min="3" max="3" width="15.00390625" style="6" bestFit="1" customWidth="1"/>
    <col min="4" max="4" width="13.8515625" style="6" bestFit="1" customWidth="1"/>
    <col min="5" max="5" width="15.00390625" style="6" bestFit="1" customWidth="1"/>
    <col min="6" max="6" width="13.8515625" style="6" bestFit="1" customWidth="1"/>
    <col min="7" max="7" width="15.00390625" style="6" bestFit="1" customWidth="1"/>
    <col min="8" max="8" width="13.8515625" style="6" bestFit="1" customWidth="1"/>
    <col min="9" max="9" width="15.00390625" style="6" bestFit="1" customWidth="1"/>
    <col min="10" max="10" width="13.8515625" style="6" bestFit="1" customWidth="1"/>
    <col min="11" max="11" width="15.00390625" style="6" bestFit="1" customWidth="1"/>
    <col min="12" max="12" width="13.8515625" style="6" bestFit="1" customWidth="1"/>
    <col min="13" max="13" width="15.00390625" style="6" bestFit="1" customWidth="1"/>
    <col min="14" max="14" width="13.8515625" style="6" bestFit="1" customWidth="1"/>
    <col min="15" max="15" width="15.00390625" style="6" bestFit="1" customWidth="1"/>
    <col min="16" max="16" width="13.8515625" style="6" bestFit="1" customWidth="1"/>
    <col min="17" max="17" width="15.00390625" style="6" bestFit="1" customWidth="1"/>
    <col min="18" max="18" width="13.8515625" style="6" bestFit="1" customWidth="1"/>
    <col min="19" max="19" width="15.00390625" style="6" bestFit="1" customWidth="1"/>
    <col min="20" max="20" width="13.8515625" style="6" bestFit="1" customWidth="1"/>
    <col min="21" max="21" width="15.00390625" style="6" bestFit="1" customWidth="1"/>
    <col min="22" max="22" width="13.8515625" style="6" bestFit="1" customWidth="1"/>
    <col min="23" max="23" width="15.00390625" style="6" bestFit="1" customWidth="1"/>
    <col min="24" max="24" width="13.8515625" style="6" bestFit="1" customWidth="1"/>
    <col min="25" max="25" width="15.00390625" style="6" bestFit="1" customWidth="1"/>
    <col min="26" max="26" width="13.8515625" style="21" bestFit="1" customWidth="1"/>
    <col min="27" max="27" width="15.00390625" style="21" bestFit="1" customWidth="1"/>
    <col min="28" max="28" width="13.8515625" style="6" bestFit="1" customWidth="1"/>
    <col min="29" max="29" width="15.00390625" style="6" bestFit="1" customWidth="1"/>
    <col min="30" max="30" width="13.8515625" style="6" bestFit="1" customWidth="1"/>
    <col min="31" max="31" width="15.00390625" style="6" bestFit="1" customWidth="1"/>
    <col min="32" max="32" width="13.8515625" style="6" bestFit="1" customWidth="1"/>
    <col min="33" max="33" width="15.00390625" style="6" bestFit="1" customWidth="1"/>
    <col min="34" max="34" width="13.8515625" style="6" bestFit="1" customWidth="1"/>
    <col min="35" max="35" width="15.00390625" style="6" bestFit="1" customWidth="1"/>
    <col min="36" max="36" width="13.8515625" style="6" bestFit="1" customWidth="1"/>
    <col min="37" max="37" width="15.00390625" style="6" bestFit="1" customWidth="1"/>
    <col min="38" max="38" width="13.8515625" style="6" bestFit="1" customWidth="1"/>
    <col min="39" max="39" width="15.00390625" style="6" bestFit="1" customWidth="1"/>
    <col min="40" max="40" width="13.8515625" style="6" bestFit="1" customWidth="1"/>
    <col min="41" max="41" width="15.00390625" style="6" bestFit="1" customWidth="1"/>
    <col min="42" max="42" width="13.8515625" style="6" bestFit="1" customWidth="1"/>
    <col min="43" max="43" width="15.00390625" style="6" bestFit="1" customWidth="1"/>
    <col min="44" max="44" width="13.8515625" style="6" bestFit="1" customWidth="1"/>
    <col min="45" max="45" width="15.00390625" style="6" bestFit="1" customWidth="1"/>
    <col min="46" max="46" width="13.8515625" style="6" bestFit="1" customWidth="1"/>
    <col min="47" max="47" width="15.00390625" style="6" bestFit="1" customWidth="1"/>
    <col min="48" max="48" width="13.8515625" style="6" bestFit="1" customWidth="1"/>
    <col min="49" max="49" width="15.00390625" style="6" bestFit="1" customWidth="1"/>
    <col min="50" max="50" width="13.8515625" style="6" bestFit="1" customWidth="1"/>
    <col min="51" max="51" width="15.00390625" style="6" bestFit="1" customWidth="1"/>
    <col min="52" max="52" width="13.8515625" style="6" bestFit="1" customWidth="1"/>
    <col min="53" max="53" width="15.00390625" style="6" bestFit="1" customWidth="1"/>
    <col min="54" max="54" width="9.57421875" style="6" bestFit="1" customWidth="1"/>
    <col min="55" max="16384" width="9.140625" style="6" customWidth="1"/>
  </cols>
  <sheetData>
    <row r="1" spans="1:53" ht="28.5" customHeight="1">
      <c r="A1" s="1097" t="s">
        <v>115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7"/>
      <c r="Z1" s="1097"/>
      <c r="AA1" s="1097"/>
      <c r="AB1" s="1097"/>
      <c r="AC1" s="1097"/>
      <c r="AD1" s="1097"/>
      <c r="AE1" s="1097"/>
      <c r="AF1" s="1097"/>
      <c r="AG1" s="1097"/>
      <c r="AH1" s="1097"/>
      <c r="AI1" s="1097"/>
      <c r="AJ1" s="1097"/>
      <c r="AK1" s="1097"/>
      <c r="AL1" s="1097"/>
      <c r="AM1" s="1097"/>
      <c r="AN1" s="1097"/>
      <c r="AO1" s="1097"/>
      <c r="AP1" s="1097"/>
      <c r="AQ1" s="1097"/>
      <c r="AR1" s="1097"/>
      <c r="AS1" s="1097"/>
      <c r="AT1" s="1097"/>
      <c r="AU1" s="1097"/>
      <c r="AV1" s="1097"/>
      <c r="AW1" s="1097"/>
      <c r="AX1" s="1097"/>
      <c r="AY1" s="1097"/>
      <c r="AZ1" s="1097"/>
      <c r="BA1" s="23"/>
    </row>
    <row r="2" spans="1:53" ht="15" thickBot="1">
      <c r="A2" s="1033"/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1033"/>
      <c r="V2" s="1033"/>
      <c r="W2" s="1033"/>
      <c r="X2" s="1033"/>
      <c r="Y2" s="1033"/>
      <c r="Z2" s="1033"/>
      <c r="AA2" s="1033"/>
      <c r="AB2" s="1033"/>
      <c r="AC2" s="1033"/>
      <c r="AD2" s="1033"/>
      <c r="AE2" s="1033"/>
      <c r="AF2" s="1033"/>
      <c r="AG2" s="1033"/>
      <c r="AH2" s="1033"/>
      <c r="AI2" s="1033"/>
      <c r="AJ2" s="1033"/>
      <c r="AK2" s="1033"/>
      <c r="AL2" s="1033"/>
      <c r="AM2" s="1033"/>
      <c r="AN2" s="1033"/>
      <c r="AO2" s="1033"/>
      <c r="AP2" s="1033"/>
      <c r="AQ2" s="1033"/>
      <c r="AR2" s="1033"/>
      <c r="AS2" s="1033"/>
      <c r="AT2" s="1033"/>
      <c r="AU2" s="1033"/>
      <c r="AV2" s="1033"/>
      <c r="AW2" s="1033"/>
      <c r="AX2" s="1033"/>
      <c r="AY2" s="1033"/>
      <c r="AZ2" s="1033"/>
      <c r="BA2" s="24"/>
    </row>
    <row r="3" spans="1:53" ht="27.75" customHeight="1" thickBot="1">
      <c r="A3" s="1098" t="s">
        <v>14</v>
      </c>
      <c r="B3" s="1100" t="s">
        <v>116</v>
      </c>
      <c r="C3" s="1101"/>
      <c r="D3" s="1090" t="s">
        <v>117</v>
      </c>
      <c r="E3" s="1091"/>
      <c r="F3" s="1092" t="s">
        <v>118</v>
      </c>
      <c r="G3" s="1092"/>
      <c r="H3" s="1090" t="s">
        <v>119</v>
      </c>
      <c r="I3" s="1091"/>
      <c r="J3" s="1092" t="s">
        <v>120</v>
      </c>
      <c r="K3" s="1092"/>
      <c r="L3" s="1090" t="s">
        <v>121</v>
      </c>
      <c r="M3" s="1091"/>
      <c r="N3" s="1092" t="s">
        <v>226</v>
      </c>
      <c r="O3" s="1092"/>
      <c r="P3" s="1090" t="s">
        <v>122</v>
      </c>
      <c r="Q3" s="1092"/>
      <c r="R3" s="1090" t="s">
        <v>123</v>
      </c>
      <c r="S3" s="1091"/>
      <c r="T3" s="1092" t="s">
        <v>124</v>
      </c>
      <c r="U3" s="1092"/>
      <c r="V3" s="1090" t="s">
        <v>125</v>
      </c>
      <c r="W3" s="1091"/>
      <c r="X3" s="1092" t="s">
        <v>126</v>
      </c>
      <c r="Y3" s="1092"/>
      <c r="Z3" s="963" t="s">
        <v>235</v>
      </c>
      <c r="AA3" s="1102"/>
      <c r="AB3" s="1090" t="s">
        <v>127</v>
      </c>
      <c r="AC3" s="1091"/>
      <c r="AD3" s="1096" t="s">
        <v>128</v>
      </c>
      <c r="AE3" s="1096"/>
      <c r="AF3" s="1090" t="s">
        <v>129</v>
      </c>
      <c r="AG3" s="1091"/>
      <c r="AH3" s="1090" t="s">
        <v>130</v>
      </c>
      <c r="AI3" s="1091"/>
      <c r="AJ3" s="1092" t="s">
        <v>131</v>
      </c>
      <c r="AK3" s="1092"/>
      <c r="AL3" s="1096" t="s">
        <v>132</v>
      </c>
      <c r="AM3" s="1096"/>
      <c r="AN3" s="1090" t="s">
        <v>133</v>
      </c>
      <c r="AO3" s="1091"/>
      <c r="AP3" s="1095" t="s">
        <v>134</v>
      </c>
      <c r="AQ3" s="981"/>
      <c r="AR3" s="980" t="s">
        <v>135</v>
      </c>
      <c r="AS3" s="980"/>
      <c r="AT3" s="1095" t="s">
        <v>136</v>
      </c>
      <c r="AU3" s="980"/>
      <c r="AV3" s="1095" t="s">
        <v>1</v>
      </c>
      <c r="AW3" s="980"/>
      <c r="AX3" s="1093" t="s">
        <v>137</v>
      </c>
      <c r="AY3" s="1094"/>
      <c r="AZ3" s="1093" t="s">
        <v>2</v>
      </c>
      <c r="BA3" s="1094"/>
    </row>
    <row r="4" spans="1:53" ht="15" thickBot="1">
      <c r="A4" s="1099"/>
      <c r="B4" s="361" t="s">
        <v>230</v>
      </c>
      <c r="C4" s="362" t="s">
        <v>231</v>
      </c>
      <c r="D4" s="361" t="s">
        <v>230</v>
      </c>
      <c r="E4" s="362" t="s">
        <v>231</v>
      </c>
      <c r="F4" s="361" t="s">
        <v>230</v>
      </c>
      <c r="G4" s="362" t="s">
        <v>231</v>
      </c>
      <c r="H4" s="361" t="s">
        <v>230</v>
      </c>
      <c r="I4" s="362" t="s">
        <v>231</v>
      </c>
      <c r="J4" s="361" t="s">
        <v>230</v>
      </c>
      <c r="K4" s="362" t="s">
        <v>231</v>
      </c>
      <c r="L4" s="361" t="s">
        <v>230</v>
      </c>
      <c r="M4" s="362" t="s">
        <v>231</v>
      </c>
      <c r="N4" s="361" t="s">
        <v>230</v>
      </c>
      <c r="O4" s="362" t="s">
        <v>231</v>
      </c>
      <c r="P4" s="361" t="s">
        <v>230</v>
      </c>
      <c r="Q4" s="362" t="s">
        <v>231</v>
      </c>
      <c r="R4" s="361" t="s">
        <v>230</v>
      </c>
      <c r="S4" s="362" t="s">
        <v>231</v>
      </c>
      <c r="T4" s="361" t="s">
        <v>230</v>
      </c>
      <c r="U4" s="362" t="s">
        <v>231</v>
      </c>
      <c r="V4" s="361" t="s">
        <v>230</v>
      </c>
      <c r="W4" s="362" t="s">
        <v>231</v>
      </c>
      <c r="X4" s="361" t="s">
        <v>230</v>
      </c>
      <c r="Y4" s="362" t="s">
        <v>231</v>
      </c>
      <c r="Z4" s="361" t="s">
        <v>230</v>
      </c>
      <c r="AA4" s="362" t="s">
        <v>231</v>
      </c>
      <c r="AB4" s="361" t="s">
        <v>230</v>
      </c>
      <c r="AC4" s="362" t="s">
        <v>231</v>
      </c>
      <c r="AD4" s="361" t="s">
        <v>230</v>
      </c>
      <c r="AE4" s="362" t="s">
        <v>231</v>
      </c>
      <c r="AF4" s="361" t="s">
        <v>230</v>
      </c>
      <c r="AG4" s="362" t="s">
        <v>231</v>
      </c>
      <c r="AH4" s="361" t="s">
        <v>230</v>
      </c>
      <c r="AI4" s="362" t="s">
        <v>231</v>
      </c>
      <c r="AJ4" s="361" t="s">
        <v>230</v>
      </c>
      <c r="AK4" s="362" t="s">
        <v>231</v>
      </c>
      <c r="AL4" s="361" t="s">
        <v>230</v>
      </c>
      <c r="AM4" s="362" t="s">
        <v>231</v>
      </c>
      <c r="AN4" s="361" t="s">
        <v>230</v>
      </c>
      <c r="AO4" s="362" t="s">
        <v>231</v>
      </c>
      <c r="AP4" s="361" t="s">
        <v>230</v>
      </c>
      <c r="AQ4" s="362" t="s">
        <v>231</v>
      </c>
      <c r="AR4" s="361" t="s">
        <v>230</v>
      </c>
      <c r="AS4" s="362" t="s">
        <v>231</v>
      </c>
      <c r="AT4" s="361" t="s">
        <v>230</v>
      </c>
      <c r="AU4" s="362" t="s">
        <v>231</v>
      </c>
      <c r="AV4" s="361" t="s">
        <v>230</v>
      </c>
      <c r="AW4" s="362" t="s">
        <v>231</v>
      </c>
      <c r="AX4" s="361" t="s">
        <v>230</v>
      </c>
      <c r="AY4" s="362" t="s">
        <v>231</v>
      </c>
      <c r="AZ4" s="361" t="s">
        <v>230</v>
      </c>
      <c r="BA4" s="362" t="s">
        <v>231</v>
      </c>
    </row>
    <row r="5" spans="1:54" ht="15">
      <c r="A5" s="25" t="s">
        <v>3</v>
      </c>
      <c r="B5" s="26">
        <v>29212</v>
      </c>
      <c r="C5" s="27">
        <v>81727</v>
      </c>
      <c r="D5" s="31">
        <v>10</v>
      </c>
      <c r="E5" s="30">
        <v>20</v>
      </c>
      <c r="F5" s="28"/>
      <c r="G5" s="29"/>
      <c r="H5" s="31">
        <v>30573</v>
      </c>
      <c r="I5" s="30">
        <v>91024</v>
      </c>
      <c r="J5" s="28">
        <v>13148</v>
      </c>
      <c r="K5" s="29">
        <v>35986</v>
      </c>
      <c r="L5" s="261">
        <v>483</v>
      </c>
      <c r="M5" s="33">
        <v>1027</v>
      </c>
      <c r="N5" s="28">
        <v>2821</v>
      </c>
      <c r="O5" s="29">
        <v>7495</v>
      </c>
      <c r="P5" s="31">
        <v>8283</v>
      </c>
      <c r="Q5" s="748">
        <v>26627</v>
      </c>
      <c r="R5" s="31">
        <v>16668</v>
      </c>
      <c r="S5" s="30">
        <v>47485</v>
      </c>
      <c r="T5" s="28">
        <v>963</v>
      </c>
      <c r="U5" s="748">
        <v>2526</v>
      </c>
      <c r="V5" s="31">
        <v>30393</v>
      </c>
      <c r="W5" s="30">
        <v>97100</v>
      </c>
      <c r="X5" s="28">
        <v>42150</v>
      </c>
      <c r="Y5" s="29">
        <v>107235</v>
      </c>
      <c r="Z5" s="34">
        <v>1103</v>
      </c>
      <c r="AA5" s="751">
        <v>2918</v>
      </c>
      <c r="AB5" s="31">
        <v>1348</v>
      </c>
      <c r="AC5" s="30">
        <v>3514</v>
      </c>
      <c r="AD5" s="28">
        <v>19873</v>
      </c>
      <c r="AE5" s="748">
        <v>61156</v>
      </c>
      <c r="AF5" s="31">
        <v>30414</v>
      </c>
      <c r="AG5" s="30">
        <v>91346</v>
      </c>
      <c r="AH5" s="31">
        <v>1808</v>
      </c>
      <c r="AI5" s="30">
        <v>6095</v>
      </c>
      <c r="AJ5" s="164">
        <v>14344</v>
      </c>
      <c r="AK5" s="165">
        <v>45065</v>
      </c>
      <c r="AL5" s="248"/>
      <c r="AM5" s="664"/>
      <c r="AN5" s="754">
        <v>150645</v>
      </c>
      <c r="AO5" s="755">
        <v>368487</v>
      </c>
      <c r="AP5" s="766">
        <v>1582</v>
      </c>
      <c r="AQ5" s="767">
        <v>3350</v>
      </c>
      <c r="AR5" s="35">
        <v>-5</v>
      </c>
      <c r="AS5" s="36">
        <v>-7</v>
      </c>
      <c r="AT5" s="31">
        <v>27794</v>
      </c>
      <c r="AU5" s="29">
        <v>86483</v>
      </c>
      <c r="AV5" s="246">
        <f aca="true" t="shared" si="0" ref="AV5:AV18">SUM(B5+D5+F5+H5+J5+L5+N5+P5+R5+T5+V5+X5+Z5+AB5+AD5+AF5+AH5+AJ5+AL5+AN5+AP5+AR5+AT5)</f>
        <v>423610</v>
      </c>
      <c r="AW5" s="246">
        <f aca="true" t="shared" si="1" ref="AW5:AW18">SUM(C5+E5+G5+I5+K5+M5+O5+Q5+S5+U5+W5+Y5+AA5+AC5+AE5+AG5+AI5+AK5+AM5+AO5+AQ5+AS5+AU5)</f>
        <v>1166659</v>
      </c>
      <c r="AX5" s="247">
        <v>4973034</v>
      </c>
      <c r="AY5" s="702">
        <v>10758760</v>
      </c>
      <c r="AZ5" s="246">
        <f aca="true" t="shared" si="2" ref="AZ5:AZ18">AV5+AX5</f>
        <v>5396644</v>
      </c>
      <c r="BA5" s="37">
        <f aca="true" t="shared" si="3" ref="BA5:BA18">AW5+AY5</f>
        <v>11925419</v>
      </c>
      <c r="BB5" s="38"/>
    </row>
    <row r="6" spans="1:53" ht="15">
      <c r="A6" s="25" t="s">
        <v>4</v>
      </c>
      <c r="B6" s="39">
        <v>33393</v>
      </c>
      <c r="C6" s="27">
        <v>91211</v>
      </c>
      <c r="D6" s="11"/>
      <c r="E6" s="30"/>
      <c r="F6" s="13"/>
      <c r="G6" s="29"/>
      <c r="H6" s="11">
        <v>45245</v>
      </c>
      <c r="I6" s="30">
        <v>108451</v>
      </c>
      <c r="J6" s="13">
        <v>2356</v>
      </c>
      <c r="K6" s="29">
        <v>5604</v>
      </c>
      <c r="L6" s="11">
        <v>45033</v>
      </c>
      <c r="M6" s="14">
        <v>105935</v>
      </c>
      <c r="N6" s="13">
        <v>172</v>
      </c>
      <c r="O6" s="29">
        <v>582</v>
      </c>
      <c r="P6" s="11">
        <v>26.13</v>
      </c>
      <c r="Q6" s="748">
        <v>7550</v>
      </c>
      <c r="R6" s="11">
        <v>2857</v>
      </c>
      <c r="S6" s="30">
        <v>6800</v>
      </c>
      <c r="T6" s="13">
        <v>835</v>
      </c>
      <c r="U6" s="748">
        <v>7299</v>
      </c>
      <c r="V6" s="11">
        <v>122461</v>
      </c>
      <c r="W6" s="30">
        <v>334628</v>
      </c>
      <c r="X6" s="13">
        <v>76971</v>
      </c>
      <c r="Y6" s="29">
        <v>208195</v>
      </c>
      <c r="Z6" s="40">
        <v>8611</v>
      </c>
      <c r="AA6" s="751">
        <v>21079</v>
      </c>
      <c r="AB6" s="11">
        <v>43703</v>
      </c>
      <c r="AC6" s="30">
        <v>90386</v>
      </c>
      <c r="AD6" s="13">
        <v>27293</v>
      </c>
      <c r="AE6" s="748">
        <v>73882</v>
      </c>
      <c r="AF6" s="11">
        <v>86368</v>
      </c>
      <c r="AG6" s="30">
        <v>239704</v>
      </c>
      <c r="AH6" s="11">
        <v>40373</v>
      </c>
      <c r="AI6" s="30">
        <v>104207</v>
      </c>
      <c r="AJ6" s="164">
        <v>938</v>
      </c>
      <c r="AK6" s="165">
        <v>2687</v>
      </c>
      <c r="AL6" s="249"/>
      <c r="AM6" s="171"/>
      <c r="AN6" s="756">
        <v>320015</v>
      </c>
      <c r="AO6" s="757">
        <v>670160</v>
      </c>
      <c r="AP6" s="671">
        <v>468</v>
      </c>
      <c r="AQ6" s="767">
        <v>994</v>
      </c>
      <c r="AR6" s="15">
        <v>29962</v>
      </c>
      <c r="AS6" s="36">
        <v>62173</v>
      </c>
      <c r="AT6" s="11">
        <v>52477</v>
      </c>
      <c r="AU6" s="29">
        <v>147662</v>
      </c>
      <c r="AV6" s="246">
        <f t="shared" si="0"/>
        <v>939557.13</v>
      </c>
      <c r="AW6" s="246">
        <f t="shared" si="1"/>
        <v>2289189</v>
      </c>
      <c r="AX6" s="170">
        <v>58663</v>
      </c>
      <c r="AY6" s="702">
        <v>132005</v>
      </c>
      <c r="AZ6" s="246">
        <f t="shared" si="2"/>
        <v>998220.13</v>
      </c>
      <c r="BA6" s="37">
        <f t="shared" si="3"/>
        <v>2421194</v>
      </c>
    </row>
    <row r="7" spans="1:53" ht="15">
      <c r="A7" s="25" t="s">
        <v>5</v>
      </c>
      <c r="B7" s="39">
        <v>60</v>
      </c>
      <c r="C7" s="27">
        <v>187</v>
      </c>
      <c r="D7" s="11">
        <v>37</v>
      </c>
      <c r="E7" s="30">
        <v>228</v>
      </c>
      <c r="F7" s="13"/>
      <c r="G7" s="29"/>
      <c r="H7" s="11">
        <v>4437</v>
      </c>
      <c r="I7" s="30">
        <v>20065</v>
      </c>
      <c r="J7" s="13">
        <v>4691</v>
      </c>
      <c r="K7" s="29">
        <v>12573</v>
      </c>
      <c r="L7" s="11">
        <v>156</v>
      </c>
      <c r="M7" s="14">
        <v>345</v>
      </c>
      <c r="N7" s="13">
        <v>400</v>
      </c>
      <c r="O7" s="29">
        <v>980</v>
      </c>
      <c r="P7" s="11">
        <v>1207</v>
      </c>
      <c r="Q7" s="748">
        <v>3781</v>
      </c>
      <c r="R7" s="11">
        <v>1023</v>
      </c>
      <c r="S7" s="30">
        <v>2318</v>
      </c>
      <c r="T7" s="13">
        <v>496</v>
      </c>
      <c r="U7" s="748">
        <v>1364</v>
      </c>
      <c r="V7" s="11">
        <v>12330</v>
      </c>
      <c r="W7" s="30">
        <v>32512</v>
      </c>
      <c r="X7" s="13">
        <v>8183</v>
      </c>
      <c r="Y7" s="29">
        <v>23156</v>
      </c>
      <c r="Z7" s="40"/>
      <c r="AA7" s="751"/>
      <c r="AB7" s="11">
        <v>1428</v>
      </c>
      <c r="AC7" s="30">
        <v>3631</v>
      </c>
      <c r="AD7" s="13">
        <v>1077</v>
      </c>
      <c r="AE7" s="748">
        <v>3292</v>
      </c>
      <c r="AF7" s="11">
        <v>1575</v>
      </c>
      <c r="AG7" s="30">
        <v>3786</v>
      </c>
      <c r="AH7" s="11">
        <v>2425</v>
      </c>
      <c r="AI7" s="30">
        <v>3076</v>
      </c>
      <c r="AJ7" s="164">
        <v>4593</v>
      </c>
      <c r="AK7" s="165">
        <v>9329</v>
      </c>
      <c r="AL7" s="249"/>
      <c r="AM7" s="171"/>
      <c r="AN7" s="756">
        <v>21555</v>
      </c>
      <c r="AO7" s="757">
        <v>46209</v>
      </c>
      <c r="AP7" s="671">
        <v>51677</v>
      </c>
      <c r="AQ7" s="767">
        <v>95733</v>
      </c>
      <c r="AR7" s="15"/>
      <c r="AS7" s="36"/>
      <c r="AT7" s="11">
        <v>1145</v>
      </c>
      <c r="AU7" s="29">
        <v>3808</v>
      </c>
      <c r="AV7" s="246">
        <f t="shared" si="0"/>
        <v>118495</v>
      </c>
      <c r="AW7" s="246">
        <f t="shared" si="1"/>
        <v>266373</v>
      </c>
      <c r="AX7" s="170">
        <v>7434</v>
      </c>
      <c r="AY7" s="702">
        <v>16250</v>
      </c>
      <c r="AZ7" s="246">
        <f t="shared" si="2"/>
        <v>125929</v>
      </c>
      <c r="BA7" s="37">
        <f t="shared" si="3"/>
        <v>282623</v>
      </c>
    </row>
    <row r="8" spans="1:53" ht="15">
      <c r="A8" s="25" t="s">
        <v>6</v>
      </c>
      <c r="B8" s="39">
        <v>13</v>
      </c>
      <c r="C8" s="27">
        <v>36</v>
      </c>
      <c r="D8" s="11">
        <v>252</v>
      </c>
      <c r="E8" s="30">
        <v>760</v>
      </c>
      <c r="F8" s="13"/>
      <c r="G8" s="29"/>
      <c r="H8" s="11">
        <v>3131</v>
      </c>
      <c r="I8" s="30">
        <v>8343</v>
      </c>
      <c r="J8" s="13">
        <v>2091</v>
      </c>
      <c r="K8" s="29">
        <v>9805</v>
      </c>
      <c r="L8" s="11">
        <v>327</v>
      </c>
      <c r="M8" s="14">
        <v>1651</v>
      </c>
      <c r="N8" s="13">
        <v>-8</v>
      </c>
      <c r="O8" s="29">
        <v>-14</v>
      </c>
      <c r="P8" s="11">
        <v>1395</v>
      </c>
      <c r="Q8" s="748">
        <v>3387</v>
      </c>
      <c r="R8" s="11">
        <v>11823</v>
      </c>
      <c r="S8" s="30">
        <v>27943</v>
      </c>
      <c r="T8" s="13">
        <v>123</v>
      </c>
      <c r="U8" s="748">
        <v>221</v>
      </c>
      <c r="V8" s="11">
        <v>12040</v>
      </c>
      <c r="W8" s="30">
        <v>28178</v>
      </c>
      <c r="X8" s="13">
        <v>7568</v>
      </c>
      <c r="Y8" s="29">
        <v>20669</v>
      </c>
      <c r="Z8" s="40">
        <v>194</v>
      </c>
      <c r="AA8" s="751">
        <v>402</v>
      </c>
      <c r="AB8" s="11">
        <v>471</v>
      </c>
      <c r="AC8" s="30">
        <v>1082</v>
      </c>
      <c r="AD8" s="13">
        <v>1218</v>
      </c>
      <c r="AE8" s="748">
        <v>3467</v>
      </c>
      <c r="AF8" s="11">
        <v>1224</v>
      </c>
      <c r="AG8" s="30">
        <v>2331</v>
      </c>
      <c r="AH8" s="11">
        <v>3988</v>
      </c>
      <c r="AI8" s="30">
        <v>8044</v>
      </c>
      <c r="AJ8" s="164">
        <v>2922</v>
      </c>
      <c r="AK8" s="165">
        <v>6147</v>
      </c>
      <c r="AL8" s="249"/>
      <c r="AM8" s="171"/>
      <c r="AN8" s="758">
        <v>45</v>
      </c>
      <c r="AO8" s="757">
        <v>109</v>
      </c>
      <c r="AP8" s="671">
        <v>5422</v>
      </c>
      <c r="AQ8" s="767">
        <v>18329</v>
      </c>
      <c r="AR8" s="15">
        <v>-3</v>
      </c>
      <c r="AS8" s="36">
        <v>-4</v>
      </c>
      <c r="AT8" s="11">
        <v>6321</v>
      </c>
      <c r="AU8" s="29">
        <v>20065</v>
      </c>
      <c r="AV8" s="246">
        <f t="shared" si="0"/>
        <v>60557</v>
      </c>
      <c r="AW8" s="246">
        <f t="shared" si="1"/>
        <v>160951</v>
      </c>
      <c r="AX8" s="170">
        <v>328</v>
      </c>
      <c r="AY8" s="702">
        <v>840</v>
      </c>
      <c r="AZ8" s="246">
        <f t="shared" si="2"/>
        <v>60885</v>
      </c>
      <c r="BA8" s="37">
        <f t="shared" si="3"/>
        <v>161791</v>
      </c>
    </row>
    <row r="9" spans="1:53" ht="15">
      <c r="A9" s="25" t="s">
        <v>7</v>
      </c>
      <c r="B9" s="39"/>
      <c r="C9" s="27"/>
      <c r="D9" s="11"/>
      <c r="E9" s="30"/>
      <c r="F9" s="13"/>
      <c r="G9" s="29"/>
      <c r="H9" s="11"/>
      <c r="I9" s="30"/>
      <c r="J9" s="13"/>
      <c r="K9" s="29"/>
      <c r="L9" s="11"/>
      <c r="M9" s="14"/>
      <c r="N9" s="13"/>
      <c r="O9" s="29"/>
      <c r="P9" s="11"/>
      <c r="Q9" s="748">
        <v>6</v>
      </c>
      <c r="R9" s="11"/>
      <c r="S9" s="30"/>
      <c r="T9" s="13"/>
      <c r="U9" s="748"/>
      <c r="V9" s="11"/>
      <c r="W9" s="30"/>
      <c r="X9" s="13"/>
      <c r="Y9" s="29"/>
      <c r="Z9" s="40"/>
      <c r="AA9" s="751"/>
      <c r="AB9" s="11"/>
      <c r="AC9" s="30"/>
      <c r="AD9" s="501">
        <v>520</v>
      </c>
      <c r="AE9" s="748">
        <v>1058</v>
      </c>
      <c r="AF9" s="11"/>
      <c r="AG9" s="30"/>
      <c r="AH9" s="11"/>
      <c r="AI9" s="30"/>
      <c r="AJ9" s="164"/>
      <c r="AK9" s="165"/>
      <c r="AL9" s="249"/>
      <c r="AM9" s="171"/>
      <c r="AN9" s="759"/>
      <c r="AO9" s="757"/>
      <c r="AP9" s="671"/>
      <c r="AQ9" s="767"/>
      <c r="AR9" s="15"/>
      <c r="AS9" s="36"/>
      <c r="AT9" s="11">
        <v>6639</v>
      </c>
      <c r="AU9" s="29">
        <v>10633</v>
      </c>
      <c r="AV9" s="246">
        <f t="shared" si="0"/>
        <v>7159</v>
      </c>
      <c r="AW9" s="246">
        <f t="shared" si="1"/>
        <v>11697</v>
      </c>
      <c r="AX9" s="11">
        <v>318231</v>
      </c>
      <c r="AY9" s="702">
        <v>567543</v>
      </c>
      <c r="AZ9" s="31">
        <f t="shared" si="2"/>
        <v>325390</v>
      </c>
      <c r="BA9" s="504">
        <f t="shared" si="3"/>
        <v>579240</v>
      </c>
    </row>
    <row r="10" spans="1:53" ht="15">
      <c r="A10" s="25" t="s">
        <v>15</v>
      </c>
      <c r="B10" s="39"/>
      <c r="C10" s="27"/>
      <c r="D10" s="11"/>
      <c r="E10" s="30"/>
      <c r="F10" s="13"/>
      <c r="G10" s="29"/>
      <c r="H10" s="11"/>
      <c r="I10" s="30"/>
      <c r="J10" s="13"/>
      <c r="K10" s="29"/>
      <c r="L10" s="11"/>
      <c r="M10" s="14"/>
      <c r="N10" s="13"/>
      <c r="O10" s="29"/>
      <c r="P10" s="11"/>
      <c r="Q10" s="748"/>
      <c r="R10" s="11"/>
      <c r="S10" s="30"/>
      <c r="T10" s="13"/>
      <c r="U10" s="748"/>
      <c r="V10" s="11"/>
      <c r="W10" s="30"/>
      <c r="X10" s="13"/>
      <c r="Y10" s="29"/>
      <c r="Z10" s="11"/>
      <c r="AA10" s="751"/>
      <c r="AB10" s="11">
        <v>5515</v>
      </c>
      <c r="AC10" s="30">
        <v>17121</v>
      </c>
      <c r="AD10" s="13"/>
      <c r="AE10" s="748"/>
      <c r="AF10" s="11"/>
      <c r="AG10" s="30"/>
      <c r="AH10" s="11"/>
      <c r="AI10" s="30"/>
      <c r="AJ10" s="164"/>
      <c r="AK10" s="165"/>
      <c r="AL10" s="249"/>
      <c r="AM10" s="171"/>
      <c r="AN10" s="759"/>
      <c r="AO10" s="757"/>
      <c r="AP10" s="671"/>
      <c r="AQ10" s="767"/>
      <c r="AR10" s="15"/>
      <c r="AS10" s="36"/>
      <c r="AT10" s="11"/>
      <c r="AU10" s="29"/>
      <c r="AV10" s="246">
        <f t="shared" si="0"/>
        <v>5515</v>
      </c>
      <c r="AW10" s="246">
        <f t="shared" si="1"/>
        <v>17121</v>
      </c>
      <c r="AX10" s="170"/>
      <c r="AY10" s="702"/>
      <c r="AZ10" s="246">
        <f t="shared" si="2"/>
        <v>5515</v>
      </c>
      <c r="BA10" s="37">
        <f t="shared" si="3"/>
        <v>17121</v>
      </c>
    </row>
    <row r="11" spans="1:53" ht="15">
      <c r="A11" s="25" t="s">
        <v>8</v>
      </c>
      <c r="B11" s="39">
        <v>2285</v>
      </c>
      <c r="C11" s="27">
        <v>5917</v>
      </c>
      <c r="D11" s="11">
        <v>2883</v>
      </c>
      <c r="E11" s="30">
        <v>10882</v>
      </c>
      <c r="F11" s="13"/>
      <c r="G11" s="29"/>
      <c r="H11" s="11">
        <v>8089</v>
      </c>
      <c r="I11" s="30">
        <v>21829</v>
      </c>
      <c r="J11" s="13">
        <v>5907</v>
      </c>
      <c r="K11" s="29">
        <v>12038</v>
      </c>
      <c r="L11" s="11">
        <v>2510</v>
      </c>
      <c r="M11" s="14">
        <v>9758</v>
      </c>
      <c r="N11" s="13">
        <v>4588</v>
      </c>
      <c r="O11" s="29">
        <v>11729</v>
      </c>
      <c r="P11" s="11">
        <v>2338</v>
      </c>
      <c r="Q11" s="748">
        <v>9637</v>
      </c>
      <c r="R11" s="11">
        <v>1850</v>
      </c>
      <c r="S11" s="30">
        <v>5954</v>
      </c>
      <c r="T11" s="13">
        <v>7940</v>
      </c>
      <c r="U11" s="748">
        <v>22287</v>
      </c>
      <c r="V11" s="11">
        <v>53882</v>
      </c>
      <c r="W11" s="30">
        <v>176937</v>
      </c>
      <c r="X11" s="13">
        <v>19622</v>
      </c>
      <c r="Y11" s="29">
        <v>49921</v>
      </c>
      <c r="Z11" s="11">
        <v>999</v>
      </c>
      <c r="AA11" s="751">
        <v>2194</v>
      </c>
      <c r="AB11" s="11">
        <v>2867</v>
      </c>
      <c r="AC11" s="30">
        <v>12739</v>
      </c>
      <c r="AD11" s="13">
        <v>23160</v>
      </c>
      <c r="AE11" s="748">
        <v>68243</v>
      </c>
      <c r="AF11" s="11">
        <v>27953</v>
      </c>
      <c r="AG11" s="30">
        <v>93558</v>
      </c>
      <c r="AH11" s="11">
        <v>14828</v>
      </c>
      <c r="AI11" s="30">
        <v>32969</v>
      </c>
      <c r="AJ11" s="164">
        <v>25387</v>
      </c>
      <c r="AK11" s="165">
        <v>68329</v>
      </c>
      <c r="AL11" s="249"/>
      <c r="AM11" s="171"/>
      <c r="AN11" s="756">
        <v>4692</v>
      </c>
      <c r="AO11" s="757">
        <v>10601</v>
      </c>
      <c r="AP11" s="671">
        <v>21431</v>
      </c>
      <c r="AQ11" s="767">
        <v>60953</v>
      </c>
      <c r="AR11" s="15">
        <v>394</v>
      </c>
      <c r="AS11" s="36">
        <v>1397</v>
      </c>
      <c r="AT11" s="11">
        <v>3891</v>
      </c>
      <c r="AU11" s="29">
        <v>13964</v>
      </c>
      <c r="AV11" s="246">
        <f t="shared" si="0"/>
        <v>237496</v>
      </c>
      <c r="AW11" s="246">
        <f t="shared" si="1"/>
        <v>701836</v>
      </c>
      <c r="AX11" s="170">
        <v>22144</v>
      </c>
      <c r="AY11" s="702">
        <v>52698</v>
      </c>
      <c r="AZ11" s="246">
        <f t="shared" si="2"/>
        <v>259640</v>
      </c>
      <c r="BA11" s="37">
        <f t="shared" si="3"/>
        <v>754534</v>
      </c>
    </row>
    <row r="12" spans="1:53" ht="15">
      <c r="A12" s="25" t="s">
        <v>16</v>
      </c>
      <c r="B12" s="39"/>
      <c r="C12" s="7"/>
      <c r="D12" s="11"/>
      <c r="E12" s="14"/>
      <c r="F12" s="13"/>
      <c r="G12" s="10"/>
      <c r="H12" s="11">
        <v>1156</v>
      </c>
      <c r="I12" s="30">
        <v>7319</v>
      </c>
      <c r="J12" s="13"/>
      <c r="K12" s="10"/>
      <c r="L12" s="11"/>
      <c r="M12" s="14"/>
      <c r="N12" s="13"/>
      <c r="O12" s="10"/>
      <c r="P12" s="11"/>
      <c r="Q12" s="662"/>
      <c r="R12" s="11">
        <v>1502</v>
      </c>
      <c r="S12" s="30">
        <v>6764</v>
      </c>
      <c r="T12" s="13"/>
      <c r="U12" s="662"/>
      <c r="V12" s="11"/>
      <c r="W12" s="30"/>
      <c r="X12" s="13"/>
      <c r="Y12" s="29"/>
      <c r="Z12" s="11"/>
      <c r="AA12" s="751"/>
      <c r="AB12" s="11"/>
      <c r="AC12" s="30"/>
      <c r="AD12" s="13">
        <v>58</v>
      </c>
      <c r="AE12" s="748">
        <v>65</v>
      </c>
      <c r="AF12" s="11"/>
      <c r="AG12" s="30"/>
      <c r="AH12" s="11"/>
      <c r="AI12" s="30"/>
      <c r="AJ12" s="164"/>
      <c r="AK12" s="165"/>
      <c r="AL12" s="249"/>
      <c r="AM12" s="171"/>
      <c r="AN12" s="756"/>
      <c r="AO12" s="757"/>
      <c r="AP12" s="671"/>
      <c r="AQ12" s="767"/>
      <c r="AR12" s="15"/>
      <c r="AS12" s="36"/>
      <c r="AT12" s="11"/>
      <c r="AU12" s="29"/>
      <c r="AV12" s="246">
        <f t="shared" si="0"/>
        <v>2716</v>
      </c>
      <c r="AW12" s="246">
        <f t="shared" si="1"/>
        <v>14148</v>
      </c>
      <c r="AX12" s="170"/>
      <c r="AY12" s="702"/>
      <c r="AZ12" s="246">
        <f t="shared" si="2"/>
        <v>2716</v>
      </c>
      <c r="BA12" s="37">
        <f t="shared" si="3"/>
        <v>14148</v>
      </c>
    </row>
    <row r="13" spans="1:53" ht="15">
      <c r="A13" s="25" t="s">
        <v>17</v>
      </c>
      <c r="B13" s="39"/>
      <c r="C13" s="7"/>
      <c r="D13" s="11"/>
      <c r="E13" s="14">
        <v>3</v>
      </c>
      <c r="F13" s="13"/>
      <c r="G13" s="10"/>
      <c r="H13" s="11"/>
      <c r="I13" s="30"/>
      <c r="J13" s="13"/>
      <c r="K13" s="10"/>
      <c r="L13" s="11"/>
      <c r="M13" s="14"/>
      <c r="N13" s="13"/>
      <c r="O13" s="10"/>
      <c r="P13" s="11"/>
      <c r="Q13" s="662"/>
      <c r="R13" s="11"/>
      <c r="S13" s="30"/>
      <c r="T13" s="13"/>
      <c r="U13" s="662"/>
      <c r="V13" s="11">
        <v>31</v>
      </c>
      <c r="W13" s="30">
        <v>127</v>
      </c>
      <c r="X13" s="13">
        <v>204</v>
      </c>
      <c r="Y13" s="29">
        <v>574</v>
      </c>
      <c r="Z13" s="11"/>
      <c r="AA13" s="751"/>
      <c r="AB13" s="11"/>
      <c r="AC13" s="30"/>
      <c r="AD13" s="13"/>
      <c r="AE13" s="748"/>
      <c r="AF13" s="11"/>
      <c r="AG13" s="30"/>
      <c r="AH13" s="11"/>
      <c r="AI13" s="30"/>
      <c r="AJ13" s="164"/>
      <c r="AK13" s="165"/>
      <c r="AL13" s="249"/>
      <c r="AM13" s="171"/>
      <c r="AN13" s="756"/>
      <c r="AO13" s="757"/>
      <c r="AP13" s="671"/>
      <c r="AQ13" s="767"/>
      <c r="AR13" s="15"/>
      <c r="AS13" s="36"/>
      <c r="AT13" s="11"/>
      <c r="AU13" s="29"/>
      <c r="AV13" s="246">
        <f t="shared" si="0"/>
        <v>235</v>
      </c>
      <c r="AW13" s="246">
        <f t="shared" si="1"/>
        <v>704</v>
      </c>
      <c r="AX13" s="170">
        <v>2584</v>
      </c>
      <c r="AY13" s="702">
        <v>4877</v>
      </c>
      <c r="AZ13" s="246">
        <f t="shared" si="2"/>
        <v>2819</v>
      </c>
      <c r="BA13" s="37">
        <f t="shared" si="3"/>
        <v>5581</v>
      </c>
    </row>
    <row r="14" spans="1:53" ht="15">
      <c r="A14" s="25" t="s">
        <v>18</v>
      </c>
      <c r="B14" s="39"/>
      <c r="C14" s="7"/>
      <c r="D14" s="11"/>
      <c r="E14" s="14"/>
      <c r="F14" s="13"/>
      <c r="G14" s="10"/>
      <c r="H14" s="11">
        <v>599</v>
      </c>
      <c r="I14" s="30">
        <v>3434</v>
      </c>
      <c r="J14" s="13"/>
      <c r="K14" s="10"/>
      <c r="L14" s="11"/>
      <c r="M14" s="14"/>
      <c r="N14" s="13"/>
      <c r="O14" s="10"/>
      <c r="P14" s="11"/>
      <c r="Q14" s="662"/>
      <c r="R14" s="11"/>
      <c r="S14" s="14"/>
      <c r="T14" s="13"/>
      <c r="U14" s="662"/>
      <c r="V14" s="11"/>
      <c r="W14" s="30"/>
      <c r="X14" s="13">
        <v>6216</v>
      </c>
      <c r="Y14" s="29">
        <v>19691</v>
      </c>
      <c r="Z14" s="11"/>
      <c r="AA14" s="751"/>
      <c r="AB14" s="11"/>
      <c r="AC14" s="30"/>
      <c r="AD14" s="13"/>
      <c r="AE14" s="748"/>
      <c r="AF14" s="11"/>
      <c r="AG14" s="30"/>
      <c r="AH14" s="11"/>
      <c r="AI14" s="30"/>
      <c r="AJ14" s="164"/>
      <c r="AK14" s="165"/>
      <c r="AL14" s="249"/>
      <c r="AM14" s="171"/>
      <c r="AN14" s="756"/>
      <c r="AO14" s="757"/>
      <c r="AP14" s="671"/>
      <c r="AQ14" s="767"/>
      <c r="AR14" s="15"/>
      <c r="AS14" s="36"/>
      <c r="AT14" s="11"/>
      <c r="AU14" s="29"/>
      <c r="AV14" s="246">
        <f t="shared" si="0"/>
        <v>6815</v>
      </c>
      <c r="AW14" s="246">
        <f t="shared" si="1"/>
        <v>23125</v>
      </c>
      <c r="AX14" s="170"/>
      <c r="AY14" s="702"/>
      <c r="AZ14" s="246">
        <f t="shared" si="2"/>
        <v>6815</v>
      </c>
      <c r="BA14" s="37">
        <f t="shared" si="3"/>
        <v>23125</v>
      </c>
    </row>
    <row r="15" spans="1:53" ht="15.75" thickBot="1">
      <c r="A15" s="25" t="s">
        <v>19</v>
      </c>
      <c r="B15" s="456"/>
      <c r="C15" s="457"/>
      <c r="D15" s="461"/>
      <c r="E15" s="460"/>
      <c r="F15" s="458"/>
      <c r="G15" s="459"/>
      <c r="H15" s="461">
        <v>7275</v>
      </c>
      <c r="I15" s="460">
        <v>28727</v>
      </c>
      <c r="J15" s="458">
        <v>-2</v>
      </c>
      <c r="K15" s="459">
        <v>276</v>
      </c>
      <c r="L15" s="461"/>
      <c r="M15" s="460"/>
      <c r="N15" s="458"/>
      <c r="O15" s="459"/>
      <c r="P15" s="461">
        <v>115</v>
      </c>
      <c r="Q15" s="749">
        <v>849</v>
      </c>
      <c r="R15" s="461"/>
      <c r="S15" s="460"/>
      <c r="T15" s="458"/>
      <c r="U15" s="749"/>
      <c r="V15" s="461">
        <v>191</v>
      </c>
      <c r="W15" s="30">
        <v>6033</v>
      </c>
      <c r="X15" s="458">
        <v>2291</v>
      </c>
      <c r="Y15" s="29">
        <v>10480</v>
      </c>
      <c r="Z15" s="461"/>
      <c r="AA15" s="751"/>
      <c r="AB15" s="461"/>
      <c r="AC15" s="30"/>
      <c r="AD15" s="458"/>
      <c r="AE15" s="748"/>
      <c r="AF15" s="461"/>
      <c r="AG15" s="30"/>
      <c r="AH15" s="461">
        <v>1120</v>
      </c>
      <c r="AI15" s="30">
        <v>10332</v>
      </c>
      <c r="AJ15" s="167">
        <v>53</v>
      </c>
      <c r="AK15" s="165">
        <v>201</v>
      </c>
      <c r="AL15" s="462"/>
      <c r="AM15" s="449"/>
      <c r="AN15" s="760"/>
      <c r="AO15" s="761"/>
      <c r="AP15" s="768">
        <v>-1</v>
      </c>
      <c r="AQ15" s="767">
        <v>76</v>
      </c>
      <c r="AR15" s="463"/>
      <c r="AS15" s="36"/>
      <c r="AT15" s="461">
        <v>5546</v>
      </c>
      <c r="AU15" s="29">
        <v>20689</v>
      </c>
      <c r="AV15" s="246">
        <f t="shared" si="0"/>
        <v>16588</v>
      </c>
      <c r="AW15" s="246">
        <f t="shared" si="1"/>
        <v>77663</v>
      </c>
      <c r="AX15" s="464"/>
      <c r="AY15" s="702"/>
      <c r="AZ15" s="703">
        <f t="shared" si="2"/>
        <v>16588</v>
      </c>
      <c r="BA15" s="465">
        <f t="shared" si="3"/>
        <v>77663</v>
      </c>
    </row>
    <row r="16" spans="1:53" s="286" customFormat="1" ht="15" thickBot="1">
      <c r="A16" s="503" t="s">
        <v>20</v>
      </c>
      <c r="B16" s="466">
        <f>SUM(B5:B15)</f>
        <v>64963</v>
      </c>
      <c r="C16" s="466">
        <f aca="true" t="shared" si="4" ref="C16:AH16">SUM(C5:C15)</f>
        <v>179078</v>
      </c>
      <c r="D16" s="466">
        <f t="shared" si="4"/>
        <v>3182</v>
      </c>
      <c r="E16" s="471">
        <f t="shared" si="4"/>
        <v>11893</v>
      </c>
      <c r="F16" s="470">
        <f t="shared" si="4"/>
        <v>0</v>
      </c>
      <c r="G16" s="466">
        <f t="shared" si="4"/>
        <v>0</v>
      </c>
      <c r="H16" s="466">
        <f t="shared" si="4"/>
        <v>100505</v>
      </c>
      <c r="I16" s="471">
        <f t="shared" si="4"/>
        <v>289192</v>
      </c>
      <c r="J16" s="470">
        <f t="shared" si="4"/>
        <v>28191</v>
      </c>
      <c r="K16" s="466">
        <f t="shared" si="4"/>
        <v>76282</v>
      </c>
      <c r="L16" s="466">
        <f t="shared" si="4"/>
        <v>48509</v>
      </c>
      <c r="M16" s="471">
        <f t="shared" si="4"/>
        <v>118716</v>
      </c>
      <c r="N16" s="470">
        <f t="shared" si="4"/>
        <v>7973</v>
      </c>
      <c r="O16" s="466">
        <f t="shared" si="4"/>
        <v>20772</v>
      </c>
      <c r="P16" s="466">
        <f t="shared" si="4"/>
        <v>13364.13</v>
      </c>
      <c r="Q16" s="467">
        <f t="shared" si="4"/>
        <v>51837</v>
      </c>
      <c r="R16" s="466">
        <f t="shared" si="4"/>
        <v>35723</v>
      </c>
      <c r="S16" s="471">
        <f t="shared" si="4"/>
        <v>97264</v>
      </c>
      <c r="T16" s="470">
        <f t="shared" si="4"/>
        <v>10357</v>
      </c>
      <c r="U16" s="467">
        <f t="shared" si="4"/>
        <v>33697</v>
      </c>
      <c r="V16" s="466">
        <f t="shared" si="4"/>
        <v>231328</v>
      </c>
      <c r="W16" s="471">
        <f t="shared" si="4"/>
        <v>675515</v>
      </c>
      <c r="X16" s="470">
        <f t="shared" si="4"/>
        <v>163205</v>
      </c>
      <c r="Y16" s="466">
        <f t="shared" si="4"/>
        <v>439921</v>
      </c>
      <c r="Z16" s="466">
        <f t="shared" si="4"/>
        <v>10907</v>
      </c>
      <c r="AA16" s="467">
        <f t="shared" si="4"/>
        <v>26593</v>
      </c>
      <c r="AB16" s="466">
        <f t="shared" si="4"/>
        <v>55332</v>
      </c>
      <c r="AC16" s="471">
        <f t="shared" si="4"/>
        <v>128473</v>
      </c>
      <c r="AD16" s="470">
        <f t="shared" si="4"/>
        <v>73199</v>
      </c>
      <c r="AE16" s="467">
        <f t="shared" si="4"/>
        <v>211163</v>
      </c>
      <c r="AF16" s="466">
        <f t="shared" si="4"/>
        <v>147534</v>
      </c>
      <c r="AG16" s="471">
        <f t="shared" si="4"/>
        <v>430725</v>
      </c>
      <c r="AH16" s="466">
        <f t="shared" si="4"/>
        <v>64542</v>
      </c>
      <c r="AI16" s="471">
        <f aca="true" t="shared" si="5" ref="AI16:AU16">SUM(AI5:AI15)</f>
        <v>164723</v>
      </c>
      <c r="AJ16" s="470">
        <f t="shared" si="5"/>
        <v>48237</v>
      </c>
      <c r="AK16" s="466">
        <f t="shared" si="5"/>
        <v>131758</v>
      </c>
      <c r="AL16" s="466">
        <f t="shared" si="5"/>
        <v>0</v>
      </c>
      <c r="AM16" s="526">
        <f t="shared" si="5"/>
        <v>0</v>
      </c>
      <c r="AN16" s="763">
        <f t="shared" si="5"/>
        <v>496952</v>
      </c>
      <c r="AO16" s="764">
        <f t="shared" si="5"/>
        <v>1095566</v>
      </c>
      <c r="AP16" s="466">
        <f t="shared" si="5"/>
        <v>80579</v>
      </c>
      <c r="AQ16" s="471">
        <f t="shared" si="5"/>
        <v>179435</v>
      </c>
      <c r="AR16" s="470">
        <f t="shared" si="5"/>
        <v>30348</v>
      </c>
      <c r="AS16" s="466">
        <f t="shared" si="5"/>
        <v>63559</v>
      </c>
      <c r="AT16" s="466">
        <f t="shared" si="5"/>
        <v>103813</v>
      </c>
      <c r="AU16" s="466">
        <f t="shared" si="5"/>
        <v>303304</v>
      </c>
      <c r="AV16" s="472">
        <f t="shared" si="0"/>
        <v>1818743.13</v>
      </c>
      <c r="AW16" s="473">
        <f t="shared" si="1"/>
        <v>4729466</v>
      </c>
      <c r="AX16" s="827">
        <f>SUM(AX5:AX15)</f>
        <v>5382418</v>
      </c>
      <c r="AY16" s="828">
        <f>SUM(AY5:AY15)</f>
        <v>11532973</v>
      </c>
      <c r="AZ16" s="472">
        <f t="shared" si="2"/>
        <v>7201161.13</v>
      </c>
      <c r="BA16" s="476">
        <f t="shared" si="3"/>
        <v>16262439</v>
      </c>
    </row>
    <row r="17" spans="1:53" s="524" customFormat="1" ht="15" thickBot="1">
      <c r="A17" s="505" t="s">
        <v>11</v>
      </c>
      <c r="B17" s="506"/>
      <c r="C17" s="507"/>
      <c r="D17" s="511">
        <v>-1</v>
      </c>
      <c r="E17" s="510">
        <v>-1</v>
      </c>
      <c r="F17" s="508"/>
      <c r="G17" s="509"/>
      <c r="H17" s="511"/>
      <c r="I17" s="510"/>
      <c r="J17" s="508"/>
      <c r="K17" s="509"/>
      <c r="L17" s="511"/>
      <c r="M17" s="510"/>
      <c r="N17" s="508"/>
      <c r="O17" s="508"/>
      <c r="P17" s="515"/>
      <c r="Q17" s="750"/>
      <c r="R17" s="515">
        <v>892</v>
      </c>
      <c r="S17" s="523">
        <v>2595</v>
      </c>
      <c r="T17" s="512"/>
      <c r="U17" s="750"/>
      <c r="V17" s="515"/>
      <c r="W17" s="514"/>
      <c r="X17" s="512"/>
      <c r="Y17" s="513"/>
      <c r="Z17" s="515"/>
      <c r="AA17" s="750"/>
      <c r="AB17" s="511"/>
      <c r="AC17" s="510"/>
      <c r="AD17" s="508">
        <v>78</v>
      </c>
      <c r="AE17" s="752">
        <v>320</v>
      </c>
      <c r="AF17" s="511"/>
      <c r="AG17" s="510"/>
      <c r="AH17" s="511"/>
      <c r="AI17" s="753">
        <v>-1</v>
      </c>
      <c r="AJ17" s="508"/>
      <c r="AK17" s="509"/>
      <c r="AL17" s="516"/>
      <c r="AM17" s="762"/>
      <c r="AN17" s="765"/>
      <c r="AO17" s="517"/>
      <c r="AP17" s="769"/>
      <c r="AQ17" s="518"/>
      <c r="AR17" s="519"/>
      <c r="AS17" s="520"/>
      <c r="AT17" s="511"/>
      <c r="AU17" s="509"/>
      <c r="AV17" s="515">
        <f t="shared" si="0"/>
        <v>969</v>
      </c>
      <c r="AW17" s="515">
        <f t="shared" si="1"/>
        <v>2913</v>
      </c>
      <c r="AX17" s="522"/>
      <c r="AY17" s="521"/>
      <c r="AZ17" s="515">
        <f t="shared" si="2"/>
        <v>969</v>
      </c>
      <c r="BA17" s="523">
        <f t="shared" si="3"/>
        <v>2913</v>
      </c>
    </row>
    <row r="18" spans="1:53" s="286" customFormat="1" ht="15" thickBot="1">
      <c r="A18" s="503" t="s">
        <v>12</v>
      </c>
      <c r="B18" s="466">
        <f>B16+B17</f>
        <v>64963</v>
      </c>
      <c r="C18" s="466">
        <f aca="true" t="shared" si="6" ref="C18:AH18">C16+C17</f>
        <v>179078</v>
      </c>
      <c r="D18" s="466">
        <f t="shared" si="6"/>
        <v>3181</v>
      </c>
      <c r="E18" s="471">
        <f t="shared" si="6"/>
        <v>11892</v>
      </c>
      <c r="F18" s="470">
        <f t="shared" si="6"/>
        <v>0</v>
      </c>
      <c r="G18" s="466">
        <f t="shared" si="6"/>
        <v>0</v>
      </c>
      <c r="H18" s="466">
        <f t="shared" si="6"/>
        <v>100505</v>
      </c>
      <c r="I18" s="471">
        <f t="shared" si="6"/>
        <v>289192</v>
      </c>
      <c r="J18" s="470">
        <f t="shared" si="6"/>
        <v>28191</v>
      </c>
      <c r="K18" s="466">
        <f t="shared" si="6"/>
        <v>76282</v>
      </c>
      <c r="L18" s="466">
        <f t="shared" si="6"/>
        <v>48509</v>
      </c>
      <c r="M18" s="471">
        <f t="shared" si="6"/>
        <v>118716</v>
      </c>
      <c r="N18" s="470">
        <f t="shared" si="6"/>
        <v>7973</v>
      </c>
      <c r="O18" s="466">
        <f t="shared" si="6"/>
        <v>20772</v>
      </c>
      <c r="P18" s="466">
        <f t="shared" si="6"/>
        <v>13364.13</v>
      </c>
      <c r="Q18" s="467">
        <f t="shared" si="6"/>
        <v>51837</v>
      </c>
      <c r="R18" s="466">
        <f t="shared" si="6"/>
        <v>36615</v>
      </c>
      <c r="S18" s="471">
        <f t="shared" si="6"/>
        <v>99859</v>
      </c>
      <c r="T18" s="470">
        <f t="shared" si="6"/>
        <v>10357</v>
      </c>
      <c r="U18" s="467">
        <f t="shared" si="6"/>
        <v>33697</v>
      </c>
      <c r="V18" s="466">
        <f t="shared" si="6"/>
        <v>231328</v>
      </c>
      <c r="W18" s="471">
        <f t="shared" si="6"/>
        <v>675515</v>
      </c>
      <c r="X18" s="470">
        <f t="shared" si="6"/>
        <v>163205</v>
      </c>
      <c r="Y18" s="466">
        <f t="shared" si="6"/>
        <v>439921</v>
      </c>
      <c r="Z18" s="466">
        <f t="shared" si="6"/>
        <v>10907</v>
      </c>
      <c r="AA18" s="467">
        <f t="shared" si="6"/>
        <v>26593</v>
      </c>
      <c r="AB18" s="466">
        <f t="shared" si="6"/>
        <v>55332</v>
      </c>
      <c r="AC18" s="471">
        <f t="shared" si="6"/>
        <v>128473</v>
      </c>
      <c r="AD18" s="470">
        <f t="shared" si="6"/>
        <v>73277</v>
      </c>
      <c r="AE18" s="467">
        <f t="shared" si="6"/>
        <v>211483</v>
      </c>
      <c r="AF18" s="466">
        <f t="shared" si="6"/>
        <v>147534</v>
      </c>
      <c r="AG18" s="471">
        <f t="shared" si="6"/>
        <v>430725</v>
      </c>
      <c r="AH18" s="466">
        <f t="shared" si="6"/>
        <v>64542</v>
      </c>
      <c r="AI18" s="471">
        <f aca="true" t="shared" si="7" ref="AI18:AU18">AI16+AI17</f>
        <v>164722</v>
      </c>
      <c r="AJ18" s="470">
        <f t="shared" si="7"/>
        <v>48237</v>
      </c>
      <c r="AK18" s="466">
        <f t="shared" si="7"/>
        <v>131758</v>
      </c>
      <c r="AL18" s="466">
        <f t="shared" si="7"/>
        <v>0</v>
      </c>
      <c r="AM18" s="526">
        <f t="shared" si="7"/>
        <v>0</v>
      </c>
      <c r="AN18" s="466">
        <f t="shared" si="7"/>
        <v>496952</v>
      </c>
      <c r="AO18" s="469">
        <f t="shared" si="7"/>
        <v>1095566</v>
      </c>
      <c r="AP18" s="466">
        <f t="shared" si="7"/>
        <v>80579</v>
      </c>
      <c r="AQ18" s="471">
        <f t="shared" si="7"/>
        <v>179435</v>
      </c>
      <c r="AR18" s="470">
        <f t="shared" si="7"/>
        <v>30348</v>
      </c>
      <c r="AS18" s="466">
        <f t="shared" si="7"/>
        <v>63559</v>
      </c>
      <c r="AT18" s="466">
        <f t="shared" si="7"/>
        <v>103813</v>
      </c>
      <c r="AU18" s="466">
        <f t="shared" si="7"/>
        <v>303304</v>
      </c>
      <c r="AV18" s="472">
        <f t="shared" si="0"/>
        <v>1819712.13</v>
      </c>
      <c r="AW18" s="473">
        <f t="shared" si="1"/>
        <v>4732379</v>
      </c>
      <c r="AX18" s="472">
        <f>AX16+AX17</f>
        <v>5382418</v>
      </c>
      <c r="AY18" s="476">
        <f>AY16+AY17</f>
        <v>11532973</v>
      </c>
      <c r="AZ18" s="472">
        <f t="shared" si="2"/>
        <v>7202130.13</v>
      </c>
      <c r="BA18" s="476">
        <f t="shared" si="3"/>
        <v>16265352</v>
      </c>
    </row>
  </sheetData>
  <sheetProtection/>
  <mergeCells count="29">
    <mergeCell ref="J3:K3"/>
    <mergeCell ref="L3:M3"/>
    <mergeCell ref="N3:O3"/>
    <mergeCell ref="AB3:AC3"/>
    <mergeCell ref="AD3:AE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  <mergeCell ref="AL3:AM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A4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9" sqref="E9"/>
    </sheetView>
  </sheetViews>
  <sheetFormatPr defaultColWidth="9.140625" defaultRowHeight="15"/>
  <cols>
    <col min="1" max="1" width="25.140625" style="21" bestFit="1" customWidth="1"/>
    <col min="2" max="39" width="15.00390625" style="21" bestFit="1" customWidth="1"/>
    <col min="40" max="41" width="15.00390625" style="174" bestFit="1" customWidth="1"/>
    <col min="42" max="53" width="15.00390625" style="21" bestFit="1" customWidth="1"/>
    <col min="54" max="16384" width="9.140625" style="21" customWidth="1"/>
  </cols>
  <sheetData>
    <row r="1" spans="1:52" ht="14.25">
      <c r="A1" s="966" t="s">
        <v>110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  <c r="AA1" s="966"/>
      <c r="AB1" s="966"/>
      <c r="AC1" s="966"/>
      <c r="AD1" s="966"/>
      <c r="AE1" s="966"/>
      <c r="AF1" s="966"/>
      <c r="AG1" s="966"/>
      <c r="AH1" s="966"/>
      <c r="AI1" s="966"/>
      <c r="AJ1" s="966"/>
      <c r="AK1" s="966"/>
      <c r="AL1" s="966"/>
      <c r="AM1" s="966"/>
      <c r="AN1" s="966"/>
      <c r="AO1" s="966"/>
      <c r="AP1" s="966"/>
      <c r="AQ1" s="966"/>
      <c r="AR1" s="966"/>
      <c r="AS1" s="966"/>
      <c r="AT1" s="966"/>
      <c r="AU1" s="966"/>
      <c r="AV1" s="966"/>
      <c r="AW1" s="966"/>
      <c r="AX1" s="966"/>
      <c r="AY1" s="966"/>
      <c r="AZ1" s="966"/>
    </row>
    <row r="2" spans="1:52" ht="16.5" thickBot="1">
      <c r="A2" s="967" t="s">
        <v>111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  <c r="AA2" s="967"/>
      <c r="AB2" s="967"/>
      <c r="AC2" s="967"/>
      <c r="AD2" s="967"/>
      <c r="AE2" s="967"/>
      <c r="AF2" s="967"/>
      <c r="AG2" s="967"/>
      <c r="AH2" s="967"/>
      <c r="AI2" s="967"/>
      <c r="AJ2" s="967"/>
      <c r="AK2" s="967"/>
      <c r="AL2" s="967"/>
      <c r="AM2" s="967"/>
      <c r="AN2" s="967"/>
      <c r="AO2" s="967"/>
      <c r="AP2" s="967"/>
      <c r="AQ2" s="967"/>
      <c r="AR2" s="967"/>
      <c r="AS2" s="967"/>
      <c r="AT2" s="967"/>
      <c r="AU2" s="967"/>
      <c r="AV2" s="967"/>
      <c r="AW2" s="967"/>
      <c r="AX2" s="967"/>
      <c r="AY2" s="967"/>
      <c r="AZ2" s="967"/>
    </row>
    <row r="3" spans="1:53" ht="41.25" customHeight="1" thickBot="1">
      <c r="A3" s="968" t="s">
        <v>0</v>
      </c>
      <c r="B3" s="970" t="s">
        <v>116</v>
      </c>
      <c r="C3" s="971"/>
      <c r="D3" s="961" t="s">
        <v>117</v>
      </c>
      <c r="E3" s="962"/>
      <c r="F3" s="954" t="s">
        <v>118</v>
      </c>
      <c r="G3" s="954"/>
      <c r="H3" s="957" t="s">
        <v>119</v>
      </c>
      <c r="I3" s="958"/>
      <c r="J3" s="954" t="s">
        <v>120</v>
      </c>
      <c r="K3" s="954"/>
      <c r="L3" s="961" t="s">
        <v>121</v>
      </c>
      <c r="M3" s="962"/>
      <c r="N3" s="954" t="s">
        <v>226</v>
      </c>
      <c r="O3" s="954"/>
      <c r="P3" s="961" t="s">
        <v>122</v>
      </c>
      <c r="Q3" s="962"/>
      <c r="R3" s="954" t="s">
        <v>123</v>
      </c>
      <c r="S3" s="954"/>
      <c r="T3" s="961" t="s">
        <v>124</v>
      </c>
      <c r="U3" s="962"/>
      <c r="V3" s="954" t="s">
        <v>125</v>
      </c>
      <c r="W3" s="954"/>
      <c r="X3" s="961" t="s">
        <v>126</v>
      </c>
      <c r="Y3" s="962"/>
      <c r="Z3" s="953" t="s">
        <v>234</v>
      </c>
      <c r="AA3" s="953"/>
      <c r="AB3" s="963" t="s">
        <v>127</v>
      </c>
      <c r="AC3" s="964"/>
      <c r="AD3" s="974" t="s">
        <v>128</v>
      </c>
      <c r="AE3" s="974"/>
      <c r="AF3" s="961" t="s">
        <v>129</v>
      </c>
      <c r="AG3" s="962"/>
      <c r="AH3" s="954" t="s">
        <v>130</v>
      </c>
      <c r="AI3" s="954"/>
      <c r="AJ3" s="961" t="s">
        <v>131</v>
      </c>
      <c r="AK3" s="962"/>
      <c r="AL3" s="974" t="s">
        <v>132</v>
      </c>
      <c r="AM3" s="974"/>
      <c r="AN3" s="959" t="s">
        <v>133</v>
      </c>
      <c r="AO3" s="960"/>
      <c r="AP3" s="961" t="s">
        <v>134</v>
      </c>
      <c r="AQ3" s="962"/>
      <c r="AR3" s="954" t="s">
        <v>135</v>
      </c>
      <c r="AS3" s="954"/>
      <c r="AT3" s="963" t="s">
        <v>136</v>
      </c>
      <c r="AU3" s="964"/>
      <c r="AV3" s="965" t="s">
        <v>1</v>
      </c>
      <c r="AW3" s="965"/>
      <c r="AX3" s="972" t="s">
        <v>137</v>
      </c>
      <c r="AY3" s="973"/>
      <c r="AZ3" s="955" t="s">
        <v>2</v>
      </c>
      <c r="BA3" s="956"/>
    </row>
    <row r="4" spans="1:53" s="354" customFormat="1" ht="15" customHeight="1" thickBot="1">
      <c r="A4" s="969"/>
      <c r="B4" s="361" t="s">
        <v>231</v>
      </c>
      <c r="C4" s="363" t="s">
        <v>339</v>
      </c>
      <c r="D4" s="361" t="s">
        <v>231</v>
      </c>
      <c r="E4" s="363" t="s">
        <v>339</v>
      </c>
      <c r="F4" s="362" t="s">
        <v>231</v>
      </c>
      <c r="G4" s="362" t="s">
        <v>339</v>
      </c>
      <c r="H4" s="361" t="s">
        <v>231</v>
      </c>
      <c r="I4" s="363" t="s">
        <v>339</v>
      </c>
      <c r="J4" s="362" t="s">
        <v>231</v>
      </c>
      <c r="K4" s="362" t="s">
        <v>339</v>
      </c>
      <c r="L4" s="361" t="s">
        <v>231</v>
      </c>
      <c r="M4" s="363" t="s">
        <v>339</v>
      </c>
      <c r="N4" s="362" t="s">
        <v>231</v>
      </c>
      <c r="O4" s="362" t="s">
        <v>339</v>
      </c>
      <c r="P4" s="361" t="s">
        <v>231</v>
      </c>
      <c r="Q4" s="363" t="s">
        <v>339</v>
      </c>
      <c r="R4" s="362" t="s">
        <v>231</v>
      </c>
      <c r="S4" s="362" t="s">
        <v>339</v>
      </c>
      <c r="T4" s="361" t="s">
        <v>231</v>
      </c>
      <c r="U4" s="363" t="s">
        <v>339</v>
      </c>
      <c r="V4" s="362" t="s">
        <v>231</v>
      </c>
      <c r="W4" s="362" t="s">
        <v>339</v>
      </c>
      <c r="X4" s="361" t="s">
        <v>231</v>
      </c>
      <c r="Y4" s="363" t="s">
        <v>339</v>
      </c>
      <c r="Z4" s="362" t="s">
        <v>231</v>
      </c>
      <c r="AA4" s="362" t="s">
        <v>339</v>
      </c>
      <c r="AB4" s="361" t="s">
        <v>231</v>
      </c>
      <c r="AC4" s="363" t="s">
        <v>339</v>
      </c>
      <c r="AD4" s="362" t="s">
        <v>231</v>
      </c>
      <c r="AE4" s="362" t="s">
        <v>339</v>
      </c>
      <c r="AF4" s="361" t="s">
        <v>231</v>
      </c>
      <c r="AG4" s="363" t="s">
        <v>339</v>
      </c>
      <c r="AH4" s="362" t="s">
        <v>231</v>
      </c>
      <c r="AI4" s="362" t="s">
        <v>339</v>
      </c>
      <c r="AJ4" s="361" t="s">
        <v>231</v>
      </c>
      <c r="AK4" s="363" t="s">
        <v>339</v>
      </c>
      <c r="AL4" s="362" t="s">
        <v>231</v>
      </c>
      <c r="AM4" s="362" t="s">
        <v>339</v>
      </c>
      <c r="AN4" s="361" t="s">
        <v>231</v>
      </c>
      <c r="AO4" s="363" t="s">
        <v>339</v>
      </c>
      <c r="AP4" s="361" t="s">
        <v>231</v>
      </c>
      <c r="AQ4" s="363" t="s">
        <v>339</v>
      </c>
      <c r="AR4" s="362" t="s">
        <v>231</v>
      </c>
      <c r="AS4" s="362" t="s">
        <v>339</v>
      </c>
      <c r="AT4" s="361" t="s">
        <v>231</v>
      </c>
      <c r="AU4" s="363" t="s">
        <v>339</v>
      </c>
      <c r="AV4" s="362" t="s">
        <v>231</v>
      </c>
      <c r="AW4" s="362" t="s">
        <v>339</v>
      </c>
      <c r="AX4" s="361" t="s">
        <v>231</v>
      </c>
      <c r="AY4" s="363" t="s">
        <v>339</v>
      </c>
      <c r="AZ4" s="362" t="s">
        <v>231</v>
      </c>
      <c r="BA4" s="362" t="s">
        <v>339</v>
      </c>
    </row>
    <row r="5" spans="1:53" ht="28.5">
      <c r="A5" s="569" t="s">
        <v>76</v>
      </c>
      <c r="B5" s="359">
        <v>1211169</v>
      </c>
      <c r="C5" s="502">
        <v>1831449</v>
      </c>
      <c r="D5" s="359"/>
      <c r="E5" s="502"/>
      <c r="F5" s="359"/>
      <c r="G5" s="502"/>
      <c r="H5" s="359">
        <v>2729005</v>
      </c>
      <c r="I5" s="502">
        <v>378516</v>
      </c>
      <c r="J5" s="359">
        <v>-1399524</v>
      </c>
      <c r="K5" s="502">
        <v>-1195957</v>
      </c>
      <c r="L5" s="359"/>
      <c r="M5" s="502"/>
      <c r="N5" s="359">
        <v>1414722</v>
      </c>
      <c r="O5" s="502">
        <v>1330481</v>
      </c>
      <c r="P5" s="359"/>
      <c r="Q5" s="502"/>
      <c r="R5" s="359"/>
      <c r="S5" s="502"/>
      <c r="T5" s="359"/>
      <c r="U5" s="502"/>
      <c r="V5" s="31">
        <v>7043092</v>
      </c>
      <c r="W5" s="502">
        <v>7397295</v>
      </c>
      <c r="X5" s="359">
        <v>15092910</v>
      </c>
      <c r="Y5" s="684">
        <v>11279936</v>
      </c>
      <c r="Z5" s="359"/>
      <c r="AA5" s="502"/>
      <c r="AB5" s="359">
        <v>473501</v>
      </c>
      <c r="AC5" s="502">
        <v>358200</v>
      </c>
      <c r="AD5" s="359"/>
      <c r="AE5" s="502"/>
      <c r="AF5" s="359">
        <v>3153658</v>
      </c>
      <c r="AG5" s="502">
        <v>2417803</v>
      </c>
      <c r="AH5" s="359">
        <v>476187</v>
      </c>
      <c r="AI5" s="502">
        <v>309314</v>
      </c>
      <c r="AJ5" s="359"/>
      <c r="AK5" s="502"/>
      <c r="AL5" s="359"/>
      <c r="AM5" s="502"/>
      <c r="AN5" s="906">
        <v>4612523</v>
      </c>
      <c r="AO5" s="907">
        <v>5417342</v>
      </c>
      <c r="AP5" s="359"/>
      <c r="AQ5" s="502"/>
      <c r="AR5" s="359">
        <v>474746</v>
      </c>
      <c r="AS5" s="502">
        <v>602418</v>
      </c>
      <c r="AT5" s="359">
        <v>193933</v>
      </c>
      <c r="AU5" s="502">
        <v>146974</v>
      </c>
      <c r="AV5" s="359">
        <f aca="true" t="shared" si="0" ref="AV5:AW25">SUM(B5+D5+F5+H5+J5+L5+N5+P5+R5+T5+V5+X5+Z5+AB5+AD5+AF5+AH5+AJ5+AL5+AN5+AP5+AR5+AT5)</f>
        <v>35475922</v>
      </c>
      <c r="AW5" s="359">
        <f t="shared" si="0"/>
        <v>30273771</v>
      </c>
      <c r="AX5" s="359"/>
      <c r="AY5" s="357"/>
      <c r="AZ5" s="359">
        <f aca="true" t="shared" si="1" ref="AZ5:BA25">AV5+AX5</f>
        <v>35475922</v>
      </c>
      <c r="BA5" s="360">
        <f t="shared" si="1"/>
        <v>30273771</v>
      </c>
    </row>
    <row r="6" spans="1:53" ht="14.25">
      <c r="A6" s="570" t="s">
        <v>77</v>
      </c>
      <c r="B6" s="39"/>
      <c r="C6" s="692"/>
      <c r="D6" s="11"/>
      <c r="E6" s="662"/>
      <c r="F6" s="11"/>
      <c r="G6" s="662"/>
      <c r="H6" s="11"/>
      <c r="I6" s="502"/>
      <c r="J6" s="11"/>
      <c r="K6" s="502"/>
      <c r="L6" s="11"/>
      <c r="M6" s="662"/>
      <c r="N6" s="11"/>
      <c r="O6" s="502"/>
      <c r="P6" s="11"/>
      <c r="Q6" s="502"/>
      <c r="R6" s="11"/>
      <c r="S6" s="662"/>
      <c r="T6" s="11"/>
      <c r="U6" s="662"/>
      <c r="V6" s="11"/>
      <c r="W6" s="502"/>
      <c r="X6" s="11"/>
      <c r="Y6" s="684"/>
      <c r="Z6" s="238"/>
      <c r="AA6" s="682"/>
      <c r="AB6" s="11"/>
      <c r="AC6" s="502"/>
      <c r="AD6" s="11"/>
      <c r="AE6" s="662"/>
      <c r="AF6" s="11"/>
      <c r="AG6" s="502"/>
      <c r="AH6" s="11"/>
      <c r="AI6" s="502"/>
      <c r="AJ6" s="11"/>
      <c r="AK6" s="662"/>
      <c r="AL6" s="675"/>
      <c r="AM6" s="502"/>
      <c r="AN6" s="675"/>
      <c r="AO6" s="907"/>
      <c r="AP6" s="11"/>
      <c r="AQ6" s="662"/>
      <c r="AR6" s="170"/>
      <c r="AS6" s="502"/>
      <c r="AT6" s="11"/>
      <c r="AU6" s="662"/>
      <c r="AV6" s="8">
        <f t="shared" si="0"/>
        <v>0</v>
      </c>
      <c r="AW6" s="8">
        <f t="shared" si="0"/>
        <v>0</v>
      </c>
      <c r="AX6" s="170"/>
      <c r="AY6" s="16"/>
      <c r="AZ6" s="8">
        <f t="shared" si="1"/>
        <v>0</v>
      </c>
      <c r="BA6" s="905">
        <f t="shared" si="1"/>
        <v>0</v>
      </c>
    </row>
    <row r="7" spans="1:53" ht="28.5">
      <c r="A7" s="570" t="s">
        <v>78</v>
      </c>
      <c r="B7" s="39">
        <v>1397451</v>
      </c>
      <c r="C7" s="692">
        <v>1313026</v>
      </c>
      <c r="D7" s="11">
        <v>30097</v>
      </c>
      <c r="E7" s="662">
        <v>34694</v>
      </c>
      <c r="F7" s="11"/>
      <c r="G7" s="662">
        <v>376896</v>
      </c>
      <c r="H7" s="11">
        <v>3701578</v>
      </c>
      <c r="I7" s="502">
        <v>4522025</v>
      </c>
      <c r="J7" s="11">
        <v>200898</v>
      </c>
      <c r="K7" s="502">
        <v>189405</v>
      </c>
      <c r="L7" s="11">
        <v>623791</v>
      </c>
      <c r="M7" s="662">
        <v>630538</v>
      </c>
      <c r="N7" s="11">
        <v>334927</v>
      </c>
      <c r="O7" s="502">
        <v>302960</v>
      </c>
      <c r="P7" s="11">
        <v>197302</v>
      </c>
      <c r="Q7" s="502">
        <v>396478</v>
      </c>
      <c r="R7" s="11">
        <v>542978</v>
      </c>
      <c r="S7" s="662">
        <v>551351</v>
      </c>
      <c r="T7" s="11">
        <v>139016</v>
      </c>
      <c r="U7" s="662">
        <v>141941</v>
      </c>
      <c r="V7" s="11">
        <v>3165525</v>
      </c>
      <c r="W7" s="502">
        <v>2659809</v>
      </c>
      <c r="X7" s="11">
        <v>3462008</v>
      </c>
      <c r="Y7" s="684">
        <v>3290189</v>
      </c>
      <c r="Z7" s="40">
        <v>317970</v>
      </c>
      <c r="AA7" s="682">
        <v>309558</v>
      </c>
      <c r="AB7" s="11">
        <v>386651</v>
      </c>
      <c r="AC7" s="502">
        <v>337003</v>
      </c>
      <c r="AD7" s="11">
        <v>1812687</v>
      </c>
      <c r="AE7" s="662">
        <v>1526927</v>
      </c>
      <c r="AF7" s="11">
        <v>1572988</v>
      </c>
      <c r="AG7" s="502">
        <v>1212398</v>
      </c>
      <c r="AH7" s="11">
        <v>760010</v>
      </c>
      <c r="AI7" s="502">
        <v>705908</v>
      </c>
      <c r="AJ7" s="11">
        <v>616890</v>
      </c>
      <c r="AK7" s="662">
        <v>649951</v>
      </c>
      <c r="AL7" s="675"/>
      <c r="AM7" s="502"/>
      <c r="AN7" s="908">
        <v>3871688</v>
      </c>
      <c r="AO7" s="907">
        <v>3472652</v>
      </c>
      <c r="AP7" s="11">
        <v>228941</v>
      </c>
      <c r="AQ7" s="662">
        <v>160000</v>
      </c>
      <c r="AR7" s="170">
        <v>289954</v>
      </c>
      <c r="AS7" s="502">
        <v>262653</v>
      </c>
      <c r="AT7" s="11">
        <v>989744</v>
      </c>
      <c r="AU7" s="662">
        <v>1110210</v>
      </c>
      <c r="AV7" s="8">
        <f t="shared" si="0"/>
        <v>24643094</v>
      </c>
      <c r="AW7" s="8">
        <f t="shared" si="0"/>
        <v>24156572</v>
      </c>
      <c r="AX7" s="170">
        <v>135839</v>
      </c>
      <c r="AY7" s="16">
        <v>309649</v>
      </c>
      <c r="AZ7" s="8">
        <f t="shared" si="1"/>
        <v>24778933</v>
      </c>
      <c r="BA7" s="905">
        <f t="shared" si="1"/>
        <v>24466221</v>
      </c>
    </row>
    <row r="8" spans="1:53" ht="28.5">
      <c r="A8" s="570" t="s">
        <v>79</v>
      </c>
      <c r="B8" s="39">
        <v>29946</v>
      </c>
      <c r="C8" s="692">
        <v>10756</v>
      </c>
      <c r="D8" s="11">
        <v>629</v>
      </c>
      <c r="E8" s="662"/>
      <c r="F8" s="11"/>
      <c r="G8" s="662">
        <v>6568</v>
      </c>
      <c r="H8" s="11">
        <v>2705203</v>
      </c>
      <c r="I8" s="502">
        <v>2054975</v>
      </c>
      <c r="J8" s="11">
        <v>113272</v>
      </c>
      <c r="K8" s="502">
        <v>57068</v>
      </c>
      <c r="L8" s="11">
        <v>189663</v>
      </c>
      <c r="M8" s="662">
        <v>157396</v>
      </c>
      <c r="N8" s="11">
        <v>111132</v>
      </c>
      <c r="O8" s="502">
        <v>52884</v>
      </c>
      <c r="P8" s="11">
        <v>101927</v>
      </c>
      <c r="Q8" s="502">
        <v>191729</v>
      </c>
      <c r="R8" s="11">
        <v>206358</v>
      </c>
      <c r="S8" s="662">
        <v>212045</v>
      </c>
      <c r="T8" s="11">
        <v>56803</v>
      </c>
      <c r="U8" s="662">
        <v>18718</v>
      </c>
      <c r="V8" s="11">
        <v>598918</v>
      </c>
      <c r="W8" s="502">
        <v>896960</v>
      </c>
      <c r="X8" s="11">
        <v>2874411</v>
      </c>
      <c r="Y8" s="684">
        <v>2534462</v>
      </c>
      <c r="Z8" s="40">
        <v>16395</v>
      </c>
      <c r="AA8" s="682">
        <v>36343</v>
      </c>
      <c r="AB8" s="11">
        <v>20729</v>
      </c>
      <c r="AC8" s="502">
        <v>8972</v>
      </c>
      <c r="AD8" s="11">
        <v>25250</v>
      </c>
      <c r="AE8" s="662">
        <v>24663</v>
      </c>
      <c r="AF8" s="11">
        <v>175641</v>
      </c>
      <c r="AG8" s="502">
        <v>332960</v>
      </c>
      <c r="AH8" s="11">
        <v>34410</v>
      </c>
      <c r="AI8" s="502">
        <v>22175</v>
      </c>
      <c r="AJ8" s="11">
        <v>247749</v>
      </c>
      <c r="AK8" s="662">
        <v>515740</v>
      </c>
      <c r="AL8" s="675"/>
      <c r="AM8" s="502"/>
      <c r="AN8" s="908">
        <v>1279542</v>
      </c>
      <c r="AO8" s="907">
        <v>1559679</v>
      </c>
      <c r="AP8" s="11">
        <v>173468</v>
      </c>
      <c r="AQ8" s="662">
        <v>310130</v>
      </c>
      <c r="AR8" s="170">
        <v>156257</v>
      </c>
      <c r="AS8" s="502">
        <v>141007</v>
      </c>
      <c r="AT8" s="11">
        <v>54374</v>
      </c>
      <c r="AU8" s="662">
        <v>59412</v>
      </c>
      <c r="AV8" s="8">
        <f t="shared" si="0"/>
        <v>9172077</v>
      </c>
      <c r="AW8" s="8">
        <f t="shared" si="0"/>
        <v>9204642</v>
      </c>
      <c r="AX8" s="170">
        <v>32068</v>
      </c>
      <c r="AY8" s="16">
        <v>16546</v>
      </c>
      <c r="AZ8" s="8">
        <f t="shared" si="1"/>
        <v>9204145</v>
      </c>
      <c r="BA8" s="905">
        <f t="shared" si="1"/>
        <v>9221188</v>
      </c>
    </row>
    <row r="9" spans="1:53" ht="28.5">
      <c r="A9" s="570" t="s">
        <v>80</v>
      </c>
      <c r="B9" s="39">
        <v>-570</v>
      </c>
      <c r="C9" s="692"/>
      <c r="D9" s="11"/>
      <c r="E9" s="662"/>
      <c r="F9" s="11"/>
      <c r="G9" s="662">
        <v>-772</v>
      </c>
      <c r="H9" s="11">
        <v>-995262</v>
      </c>
      <c r="I9" s="502">
        <v>-438837</v>
      </c>
      <c r="J9" s="11">
        <v>-72788</v>
      </c>
      <c r="K9" s="502">
        <v>-15717</v>
      </c>
      <c r="L9" s="11"/>
      <c r="M9" s="662"/>
      <c r="N9" s="11">
        <v>-21189</v>
      </c>
      <c r="O9" s="502">
        <v>-6101</v>
      </c>
      <c r="P9" s="11">
        <v>-41020</v>
      </c>
      <c r="Q9" s="502">
        <v>-44441</v>
      </c>
      <c r="R9" s="11"/>
      <c r="S9" s="662"/>
      <c r="T9" s="11">
        <v>-25046</v>
      </c>
      <c r="U9" s="662">
        <v>-11384</v>
      </c>
      <c r="V9" s="11">
        <v>-1729</v>
      </c>
      <c r="W9" s="502">
        <v>-38847</v>
      </c>
      <c r="X9" s="11">
        <v>-1215522</v>
      </c>
      <c r="Y9" s="684">
        <v>-466239</v>
      </c>
      <c r="Z9" s="40">
        <v>-6058</v>
      </c>
      <c r="AA9" s="682">
        <v>-31074</v>
      </c>
      <c r="AB9" s="11">
        <v>-63</v>
      </c>
      <c r="AC9" s="502"/>
      <c r="AD9" s="11"/>
      <c r="AE9" s="662"/>
      <c r="AF9" s="11">
        <v>-3951</v>
      </c>
      <c r="AG9" s="502">
        <v>-36909</v>
      </c>
      <c r="AH9" s="11">
        <v>-9160</v>
      </c>
      <c r="AI9" s="502"/>
      <c r="AJ9" s="11">
        <v>-88678</v>
      </c>
      <c r="AK9" s="662">
        <v>-151395</v>
      </c>
      <c r="AL9" s="675"/>
      <c r="AM9" s="502"/>
      <c r="AN9" s="908">
        <v>-540085</v>
      </c>
      <c r="AO9" s="907">
        <v>-180674</v>
      </c>
      <c r="AP9" s="11">
        <v>-143496</v>
      </c>
      <c r="AQ9" s="662">
        <v>-312314</v>
      </c>
      <c r="AR9" s="170">
        <v>-7414</v>
      </c>
      <c r="AS9" s="502">
        <v>-10521</v>
      </c>
      <c r="AT9" s="11">
        <v>-3378</v>
      </c>
      <c r="AU9" s="662">
        <v>-44034</v>
      </c>
      <c r="AV9" s="8">
        <f t="shared" si="0"/>
        <v>-3175409</v>
      </c>
      <c r="AW9" s="8">
        <f t="shared" si="0"/>
        <v>-1789259</v>
      </c>
      <c r="AX9" s="170">
        <v>-55649</v>
      </c>
      <c r="AY9" s="16">
        <v>-3949</v>
      </c>
      <c r="AZ9" s="8">
        <f t="shared" si="1"/>
        <v>-3231058</v>
      </c>
      <c r="BA9" s="905">
        <f t="shared" si="1"/>
        <v>-1793208</v>
      </c>
    </row>
    <row r="10" spans="1:53" ht="42.75">
      <c r="A10" s="570" t="s">
        <v>81</v>
      </c>
      <c r="B10" s="8"/>
      <c r="C10" s="692"/>
      <c r="D10" s="18">
        <v>9122</v>
      </c>
      <c r="E10" s="662">
        <v>30043</v>
      </c>
      <c r="F10" s="18"/>
      <c r="G10" s="662"/>
      <c r="H10" s="18">
        <v>-87603</v>
      </c>
      <c r="I10" s="502">
        <v>-12853</v>
      </c>
      <c r="J10" s="18"/>
      <c r="K10" s="502"/>
      <c r="L10" s="18"/>
      <c r="M10" s="662"/>
      <c r="N10" s="18">
        <v>-22168</v>
      </c>
      <c r="O10" s="502">
        <v>-13770</v>
      </c>
      <c r="P10" s="18"/>
      <c r="Q10" s="502"/>
      <c r="R10" s="18"/>
      <c r="S10" s="662"/>
      <c r="T10" s="18"/>
      <c r="U10" s="662"/>
      <c r="V10" s="18"/>
      <c r="W10" s="502"/>
      <c r="X10" s="18">
        <v>-9613</v>
      </c>
      <c r="Y10" s="684">
        <v>2260</v>
      </c>
      <c r="Z10" s="40">
        <v>28868</v>
      </c>
      <c r="AA10" s="682">
        <v>45847</v>
      </c>
      <c r="AB10" s="18">
        <v>-9537</v>
      </c>
      <c r="AC10" s="502">
        <v>12326</v>
      </c>
      <c r="AD10" s="680"/>
      <c r="AE10" s="662"/>
      <c r="AF10" s="18"/>
      <c r="AG10" s="502">
        <v>64517</v>
      </c>
      <c r="AH10" s="18">
        <v>-20922</v>
      </c>
      <c r="AI10" s="502">
        <v>-9644</v>
      </c>
      <c r="AJ10" s="18">
        <v>-19973</v>
      </c>
      <c r="AK10" s="662">
        <v>7637</v>
      </c>
      <c r="AL10" s="675"/>
      <c r="AM10" s="502"/>
      <c r="AN10" s="908">
        <v>47569</v>
      </c>
      <c r="AO10" s="907">
        <v>30137</v>
      </c>
      <c r="AP10" s="11">
        <v>-4155</v>
      </c>
      <c r="AQ10" s="662">
        <v>-1525</v>
      </c>
      <c r="AR10" s="170"/>
      <c r="AS10" s="502"/>
      <c r="AT10" s="18">
        <v>128253</v>
      </c>
      <c r="AU10" s="662"/>
      <c r="AV10" s="8">
        <f t="shared" si="0"/>
        <v>39841</v>
      </c>
      <c r="AW10" s="8">
        <f t="shared" si="0"/>
        <v>154975</v>
      </c>
      <c r="AX10" s="18"/>
      <c r="AY10" s="16"/>
      <c r="AZ10" s="8">
        <f t="shared" si="1"/>
        <v>39841</v>
      </c>
      <c r="BA10" s="905">
        <f t="shared" si="1"/>
        <v>154975</v>
      </c>
    </row>
    <row r="11" spans="1:53" ht="42.75">
      <c r="A11" s="570" t="s">
        <v>221</v>
      </c>
      <c r="B11" s="8"/>
      <c r="C11" s="692"/>
      <c r="D11" s="18"/>
      <c r="E11" s="662"/>
      <c r="F11" s="18"/>
      <c r="G11" s="662"/>
      <c r="H11" s="18"/>
      <c r="I11" s="502"/>
      <c r="J11" s="18"/>
      <c r="K11" s="502"/>
      <c r="L11" s="18"/>
      <c r="M11" s="662"/>
      <c r="N11" s="18"/>
      <c r="O11" s="502"/>
      <c r="P11" s="18"/>
      <c r="Q11" s="502"/>
      <c r="R11" s="18"/>
      <c r="S11" s="662"/>
      <c r="T11" s="18"/>
      <c r="U11" s="662"/>
      <c r="V11" s="18"/>
      <c r="W11" s="502"/>
      <c r="X11" s="18"/>
      <c r="Y11" s="684"/>
      <c r="Z11" s="40"/>
      <c r="AA11" s="682"/>
      <c r="AB11" s="18"/>
      <c r="AC11" s="502"/>
      <c r="AD11" s="680"/>
      <c r="AE11" s="662"/>
      <c r="AF11" s="18"/>
      <c r="AG11" s="502">
        <v>-100912</v>
      </c>
      <c r="AH11" s="18"/>
      <c r="AI11" s="502"/>
      <c r="AJ11" s="18"/>
      <c r="AK11" s="662"/>
      <c r="AL11" s="675"/>
      <c r="AM11" s="502"/>
      <c r="AN11" s="908"/>
      <c r="AO11" s="907"/>
      <c r="AP11" s="11"/>
      <c r="AQ11" s="662"/>
      <c r="AR11" s="170"/>
      <c r="AS11" s="502"/>
      <c r="AT11" s="18"/>
      <c r="AU11" s="662"/>
      <c r="AV11" s="8"/>
      <c r="AW11" s="8"/>
      <c r="AX11" s="18"/>
      <c r="AY11" s="16"/>
      <c r="AZ11" s="8"/>
      <c r="BA11" s="905"/>
    </row>
    <row r="12" spans="1:53" ht="14.25">
      <c r="A12" s="570" t="s">
        <v>82</v>
      </c>
      <c r="B12" s="39"/>
      <c r="C12" s="692"/>
      <c r="D12" s="11">
        <v>9260</v>
      </c>
      <c r="E12" s="662"/>
      <c r="F12" s="11"/>
      <c r="G12" s="662"/>
      <c r="H12" s="11"/>
      <c r="I12" s="502">
        <v>9112</v>
      </c>
      <c r="J12" s="11">
        <v>20000</v>
      </c>
      <c r="K12" s="502"/>
      <c r="L12" s="11">
        <v>672</v>
      </c>
      <c r="M12" s="662">
        <v>222</v>
      </c>
      <c r="N12" s="11"/>
      <c r="O12" s="502"/>
      <c r="P12" s="11">
        <v>4179</v>
      </c>
      <c r="Q12" s="502">
        <v>235</v>
      </c>
      <c r="R12" s="11"/>
      <c r="S12" s="662"/>
      <c r="T12" s="11"/>
      <c r="U12" s="662"/>
      <c r="V12" s="11"/>
      <c r="W12" s="502"/>
      <c r="X12" s="11">
        <v>11667</v>
      </c>
      <c r="Y12" s="684">
        <v>7282</v>
      </c>
      <c r="Z12" s="11">
        <f>61+5268</f>
        <v>5329</v>
      </c>
      <c r="AA12" s="682">
        <f>49+3739</f>
        <v>3788</v>
      </c>
      <c r="AB12" s="11">
        <v>74664</v>
      </c>
      <c r="AC12" s="502">
        <v>10656</v>
      </c>
      <c r="AD12" s="11"/>
      <c r="AE12" s="662"/>
      <c r="AF12" s="11">
        <v>124243</v>
      </c>
      <c r="AG12" s="502">
        <v>1034</v>
      </c>
      <c r="AH12" s="11"/>
      <c r="AI12" s="502"/>
      <c r="AJ12" s="11"/>
      <c r="AK12" s="662"/>
      <c r="AL12" s="675"/>
      <c r="AM12" s="502"/>
      <c r="AN12" s="908"/>
      <c r="AO12" s="907">
        <v>47136</v>
      </c>
      <c r="AP12" s="11">
        <v>5390</v>
      </c>
      <c r="AQ12" s="662">
        <v>505</v>
      </c>
      <c r="AR12" s="170">
        <v>597</v>
      </c>
      <c r="AS12" s="502">
        <v>918</v>
      </c>
      <c r="AT12" s="11"/>
      <c r="AU12" s="662"/>
      <c r="AV12" s="8">
        <f t="shared" si="0"/>
        <v>256001</v>
      </c>
      <c r="AW12" s="8">
        <f t="shared" si="0"/>
        <v>80888</v>
      </c>
      <c r="AX12" s="170"/>
      <c r="AY12" s="16"/>
      <c r="AZ12" s="8">
        <f t="shared" si="1"/>
        <v>256001</v>
      </c>
      <c r="BA12" s="905">
        <f t="shared" si="1"/>
        <v>80888</v>
      </c>
    </row>
    <row r="13" spans="1:53" s="611" customFormat="1" ht="14.25">
      <c r="A13" s="608" t="s">
        <v>218</v>
      </c>
      <c r="B13" s="612">
        <f aca="true" t="shared" si="2" ref="B13:X13">SUM(B5:B12)</f>
        <v>2637996</v>
      </c>
      <c r="C13" s="612">
        <f t="shared" si="2"/>
        <v>3155231</v>
      </c>
      <c r="D13" s="612">
        <f t="shared" si="2"/>
        <v>49108</v>
      </c>
      <c r="E13" s="612">
        <f t="shared" si="2"/>
        <v>64737</v>
      </c>
      <c r="F13" s="612">
        <f t="shared" si="2"/>
        <v>0</v>
      </c>
      <c r="G13" s="612">
        <f t="shared" si="2"/>
        <v>382692</v>
      </c>
      <c r="H13" s="612">
        <f t="shared" si="2"/>
        <v>8052921</v>
      </c>
      <c r="I13" s="612">
        <f t="shared" si="2"/>
        <v>6512938</v>
      </c>
      <c r="J13" s="612">
        <f t="shared" si="2"/>
        <v>-1138142</v>
      </c>
      <c r="K13" s="612">
        <f t="shared" si="2"/>
        <v>-965201</v>
      </c>
      <c r="L13" s="612">
        <f t="shared" si="2"/>
        <v>814126</v>
      </c>
      <c r="M13" s="612">
        <f t="shared" si="2"/>
        <v>788156</v>
      </c>
      <c r="N13" s="612">
        <f t="shared" si="2"/>
        <v>1817424</v>
      </c>
      <c r="O13" s="612">
        <f t="shared" si="2"/>
        <v>1666454</v>
      </c>
      <c r="P13" s="612">
        <f t="shared" si="2"/>
        <v>262388</v>
      </c>
      <c r="Q13" s="612">
        <f t="shared" si="2"/>
        <v>544001</v>
      </c>
      <c r="R13" s="612">
        <f t="shared" si="2"/>
        <v>749336</v>
      </c>
      <c r="S13" s="612">
        <f t="shared" si="2"/>
        <v>763396</v>
      </c>
      <c r="T13" s="612">
        <f t="shared" si="2"/>
        <v>170773</v>
      </c>
      <c r="U13" s="612">
        <f t="shared" si="2"/>
        <v>149275</v>
      </c>
      <c r="V13" s="612">
        <f t="shared" si="2"/>
        <v>10805806</v>
      </c>
      <c r="W13" s="612">
        <f t="shared" si="2"/>
        <v>10915217</v>
      </c>
      <c r="X13" s="612">
        <f t="shared" si="2"/>
        <v>20215861</v>
      </c>
      <c r="Y13" s="685">
        <f>X13</f>
        <v>20215861</v>
      </c>
      <c r="Z13" s="612">
        <f aca="true" t="shared" si="3" ref="Z13:AU13">SUM(Z5:Z12)</f>
        <v>362504</v>
      </c>
      <c r="AA13" s="612">
        <f t="shared" si="3"/>
        <v>364462</v>
      </c>
      <c r="AB13" s="612">
        <f t="shared" si="3"/>
        <v>945945</v>
      </c>
      <c r="AC13" s="612">
        <f t="shared" si="3"/>
        <v>727157</v>
      </c>
      <c r="AD13" s="612">
        <f t="shared" si="3"/>
        <v>1837937</v>
      </c>
      <c r="AE13" s="612">
        <f t="shared" si="3"/>
        <v>1551590</v>
      </c>
      <c r="AF13" s="612">
        <f t="shared" si="3"/>
        <v>5022579</v>
      </c>
      <c r="AG13" s="612">
        <f t="shared" si="3"/>
        <v>3890891</v>
      </c>
      <c r="AH13" s="612">
        <f t="shared" si="3"/>
        <v>1240525</v>
      </c>
      <c r="AI13" s="672">
        <f t="shared" si="3"/>
        <v>1027753</v>
      </c>
      <c r="AJ13" s="612">
        <f t="shared" si="3"/>
        <v>755988</v>
      </c>
      <c r="AK13" s="612">
        <f t="shared" si="3"/>
        <v>1021933</v>
      </c>
      <c r="AL13" s="612">
        <f t="shared" si="3"/>
        <v>0</v>
      </c>
      <c r="AM13" s="672">
        <f t="shared" si="3"/>
        <v>0</v>
      </c>
      <c r="AN13" s="612">
        <f t="shared" si="3"/>
        <v>9271237</v>
      </c>
      <c r="AO13" s="909">
        <f t="shared" si="3"/>
        <v>10346272</v>
      </c>
      <c r="AP13" s="612">
        <f t="shared" si="3"/>
        <v>260148</v>
      </c>
      <c r="AQ13" s="663">
        <f t="shared" si="3"/>
        <v>156796</v>
      </c>
      <c r="AR13" s="612">
        <f t="shared" si="3"/>
        <v>914140</v>
      </c>
      <c r="AS13" s="612">
        <f t="shared" si="3"/>
        <v>996475</v>
      </c>
      <c r="AT13" s="612">
        <f t="shared" si="3"/>
        <v>1362926</v>
      </c>
      <c r="AU13" s="612">
        <f t="shared" si="3"/>
        <v>1272562</v>
      </c>
      <c r="AV13" s="609">
        <f t="shared" si="0"/>
        <v>66411526</v>
      </c>
      <c r="AW13" s="609">
        <f t="shared" si="0"/>
        <v>65548648</v>
      </c>
      <c r="AX13" s="612">
        <f>SUM(AX5:AX12)</f>
        <v>112258</v>
      </c>
      <c r="AY13" s="612">
        <f>SUM(AY5:AY12)</f>
        <v>322246</v>
      </c>
      <c r="AZ13" s="609">
        <f t="shared" si="1"/>
        <v>66523784</v>
      </c>
      <c r="BA13" s="610">
        <f t="shared" si="1"/>
        <v>65870894</v>
      </c>
    </row>
    <row r="14" spans="1:53" ht="42.75">
      <c r="A14" s="570" t="s">
        <v>83</v>
      </c>
      <c r="B14" s="39">
        <f>288172+43552</f>
        <v>331724</v>
      </c>
      <c r="C14" s="692">
        <f>305017+83359</f>
        <v>388376</v>
      </c>
      <c r="D14" s="11">
        <v>227993</v>
      </c>
      <c r="E14" s="662">
        <v>87945</v>
      </c>
      <c r="F14" s="11"/>
      <c r="G14" s="662">
        <v>55405</v>
      </c>
      <c r="H14" s="11">
        <f>244498+67883</f>
        <v>312381</v>
      </c>
      <c r="I14" s="502">
        <v>287853</v>
      </c>
      <c r="J14" s="11">
        <f>48444+41913</f>
        <v>90357</v>
      </c>
      <c r="K14" s="502">
        <v>83220</v>
      </c>
      <c r="L14" s="11">
        <f>23996+15412</f>
        <v>39408</v>
      </c>
      <c r="M14" s="662">
        <v>56825</v>
      </c>
      <c r="N14" s="11">
        <v>41367</v>
      </c>
      <c r="O14" s="502">
        <v>689985</v>
      </c>
      <c r="P14" s="11">
        <v>5403</v>
      </c>
      <c r="Q14" s="502">
        <v>6355</v>
      </c>
      <c r="R14" s="11">
        <v>1961</v>
      </c>
      <c r="S14" s="662">
        <v>1144</v>
      </c>
      <c r="T14" s="11">
        <f>14972+18030</f>
        <v>33002</v>
      </c>
      <c r="U14" s="662">
        <v>44444</v>
      </c>
      <c r="V14" s="11">
        <f>48798+176812+171044</f>
        <v>396654</v>
      </c>
      <c r="W14" s="502">
        <v>154893</v>
      </c>
      <c r="X14" s="11">
        <f>196246+93648+126115</f>
        <v>416009</v>
      </c>
      <c r="Y14" s="684">
        <v>307568</v>
      </c>
      <c r="Z14" s="11">
        <v>44111</v>
      </c>
      <c r="AA14" s="682">
        <v>47563</v>
      </c>
      <c r="AB14" s="11">
        <f>100004+18420</f>
        <v>118424</v>
      </c>
      <c r="AC14" s="502">
        <v>95600</v>
      </c>
      <c r="AD14" s="11">
        <f>59256</f>
        <v>59256</v>
      </c>
      <c r="AE14" s="662">
        <v>34748</v>
      </c>
      <c r="AF14" s="11">
        <f>207528+125632</f>
        <v>333160</v>
      </c>
      <c r="AG14" s="502">
        <f>127737+141814</f>
        <v>269551</v>
      </c>
      <c r="AH14" s="11">
        <f>74681+24272</f>
        <v>98953</v>
      </c>
      <c r="AI14" s="662">
        <v>312471</v>
      </c>
      <c r="AJ14" s="11">
        <v>197462</v>
      </c>
      <c r="AK14" s="662">
        <v>386055</v>
      </c>
      <c r="AL14" s="675"/>
      <c r="AM14" s="662"/>
      <c r="AN14" s="675"/>
      <c r="AO14" s="907"/>
      <c r="AP14" s="11">
        <v>4352</v>
      </c>
      <c r="AQ14" s="662">
        <v>10116</v>
      </c>
      <c r="AR14" s="170">
        <f>22395+45397</f>
        <v>67792</v>
      </c>
      <c r="AS14" s="502">
        <v>64779</v>
      </c>
      <c r="AT14" s="11">
        <v>31628</v>
      </c>
      <c r="AU14" s="662">
        <v>21670</v>
      </c>
      <c r="AV14" s="8">
        <f t="shared" si="0"/>
        <v>2851397</v>
      </c>
      <c r="AW14" s="8">
        <f t="shared" si="0"/>
        <v>3406566</v>
      </c>
      <c r="AX14" s="170">
        <v>3415</v>
      </c>
      <c r="AY14" s="16">
        <v>3334</v>
      </c>
      <c r="AZ14" s="8">
        <f t="shared" si="1"/>
        <v>2854812</v>
      </c>
      <c r="BA14" s="905">
        <f t="shared" si="1"/>
        <v>3409900</v>
      </c>
    </row>
    <row r="15" spans="1:53" ht="14.25">
      <c r="A15" s="570" t="s">
        <v>84</v>
      </c>
      <c r="B15" s="39"/>
      <c r="C15" s="692"/>
      <c r="D15" s="11"/>
      <c r="E15" s="662"/>
      <c r="F15" s="11"/>
      <c r="G15" s="662"/>
      <c r="H15" s="11"/>
      <c r="I15" s="502"/>
      <c r="J15" s="11"/>
      <c r="K15" s="502"/>
      <c r="L15" s="11"/>
      <c r="M15" s="662"/>
      <c r="N15" s="11"/>
      <c r="O15" s="502"/>
      <c r="P15" s="11"/>
      <c r="Q15" s="502"/>
      <c r="R15" s="11"/>
      <c r="S15" s="662"/>
      <c r="T15" s="11"/>
      <c r="U15" s="662"/>
      <c r="V15" s="11"/>
      <c r="W15" s="502"/>
      <c r="X15" s="11"/>
      <c r="Y15" s="684"/>
      <c r="Z15" s="11"/>
      <c r="AA15" s="682"/>
      <c r="AB15" s="11"/>
      <c r="AC15" s="502"/>
      <c r="AD15" s="11"/>
      <c r="AE15" s="662"/>
      <c r="AF15" s="11"/>
      <c r="AG15" s="502"/>
      <c r="AH15" s="11"/>
      <c r="AI15" s="662"/>
      <c r="AJ15" s="11"/>
      <c r="AK15" s="662"/>
      <c r="AL15" s="675"/>
      <c r="AM15" s="662"/>
      <c r="AN15" s="910"/>
      <c r="AO15" s="907"/>
      <c r="AP15" s="11"/>
      <c r="AQ15" s="662"/>
      <c r="AR15" s="170"/>
      <c r="AS15" s="502"/>
      <c r="AT15" s="11"/>
      <c r="AU15" s="662"/>
      <c r="AV15" s="8">
        <f t="shared" si="0"/>
        <v>0</v>
      </c>
      <c r="AW15" s="8">
        <f t="shared" si="0"/>
        <v>0</v>
      </c>
      <c r="AX15" s="170"/>
      <c r="AY15" s="16"/>
      <c r="AZ15" s="8">
        <f t="shared" si="1"/>
        <v>0</v>
      </c>
      <c r="BA15" s="905">
        <f t="shared" si="1"/>
        <v>0</v>
      </c>
    </row>
    <row r="16" spans="1:53" ht="14.25">
      <c r="A16" s="570" t="s">
        <v>85</v>
      </c>
      <c r="B16" s="8"/>
      <c r="C16" s="692"/>
      <c r="D16" s="18"/>
      <c r="E16" s="662"/>
      <c r="F16" s="18"/>
      <c r="G16" s="662"/>
      <c r="H16" s="18"/>
      <c r="I16" s="502"/>
      <c r="J16" s="18"/>
      <c r="K16" s="502"/>
      <c r="L16" s="18"/>
      <c r="M16" s="662"/>
      <c r="N16" s="18"/>
      <c r="O16" s="502"/>
      <c r="P16" s="18"/>
      <c r="Q16" s="502"/>
      <c r="R16" s="18"/>
      <c r="S16" s="662"/>
      <c r="T16" s="18"/>
      <c r="U16" s="662"/>
      <c r="V16" s="18"/>
      <c r="W16" s="502"/>
      <c r="X16" s="18"/>
      <c r="Y16" s="684"/>
      <c r="Z16" s="40"/>
      <c r="AA16" s="682"/>
      <c r="AB16" s="18"/>
      <c r="AC16" s="502"/>
      <c r="AD16" s="680"/>
      <c r="AE16" s="662"/>
      <c r="AF16" s="18"/>
      <c r="AG16" s="502"/>
      <c r="AH16" s="18"/>
      <c r="AI16" s="590"/>
      <c r="AJ16" s="18"/>
      <c r="AK16" s="662"/>
      <c r="AL16" s="675"/>
      <c r="AM16" s="662"/>
      <c r="AN16" s="908">
        <v>10790</v>
      </c>
      <c r="AO16" s="907">
        <v>3615</v>
      </c>
      <c r="AP16" s="11"/>
      <c r="AQ16" s="662"/>
      <c r="AR16" s="170"/>
      <c r="AS16" s="502"/>
      <c r="AT16" s="18"/>
      <c r="AU16" s="662"/>
      <c r="AV16" s="8">
        <f t="shared" si="0"/>
        <v>10790</v>
      </c>
      <c r="AW16" s="8">
        <f t="shared" si="0"/>
        <v>3615</v>
      </c>
      <c r="AX16" s="18"/>
      <c r="AY16" s="16"/>
      <c r="AZ16" s="8">
        <f t="shared" si="1"/>
        <v>10790</v>
      </c>
      <c r="BA16" s="905">
        <f t="shared" si="1"/>
        <v>3615</v>
      </c>
    </row>
    <row r="17" spans="1:53" ht="28.5">
      <c r="A17" s="570" t="s">
        <v>86</v>
      </c>
      <c r="B17" s="39"/>
      <c r="C17" s="692"/>
      <c r="D17" s="11"/>
      <c r="E17" s="662"/>
      <c r="F17" s="11"/>
      <c r="G17" s="662"/>
      <c r="H17" s="11"/>
      <c r="I17" s="502"/>
      <c r="J17" s="11"/>
      <c r="K17" s="502"/>
      <c r="L17" s="11"/>
      <c r="M17" s="662"/>
      <c r="N17" s="11"/>
      <c r="O17" s="502"/>
      <c r="P17" s="11"/>
      <c r="Q17" s="502"/>
      <c r="R17" s="11"/>
      <c r="S17" s="662"/>
      <c r="T17" s="11"/>
      <c r="U17" s="662"/>
      <c r="V17" s="11"/>
      <c r="W17" s="502"/>
      <c r="X17" s="11"/>
      <c r="Y17" s="684"/>
      <c r="Z17" s="40"/>
      <c r="AA17" s="682"/>
      <c r="AB17" s="11"/>
      <c r="AC17" s="502"/>
      <c r="AD17" s="11"/>
      <c r="AE17" s="662"/>
      <c r="AF17" s="11"/>
      <c r="AG17" s="502"/>
      <c r="AH17" s="11"/>
      <c r="AI17" s="662"/>
      <c r="AJ17" s="11"/>
      <c r="AK17" s="662"/>
      <c r="AL17" s="675"/>
      <c r="AM17" s="662"/>
      <c r="AN17" s="908">
        <v>141</v>
      </c>
      <c r="AO17" s="907">
        <v>2268</v>
      </c>
      <c r="AP17" s="11"/>
      <c r="AQ17" s="662"/>
      <c r="AR17" s="170"/>
      <c r="AS17" s="502"/>
      <c r="AT17" s="11"/>
      <c r="AU17" s="662"/>
      <c r="AV17" s="8">
        <f t="shared" si="0"/>
        <v>141</v>
      </c>
      <c r="AW17" s="8">
        <f t="shared" si="0"/>
        <v>2268</v>
      </c>
      <c r="AX17" s="11"/>
      <c r="AY17" s="16"/>
      <c r="AZ17" s="8">
        <f t="shared" si="1"/>
        <v>141</v>
      </c>
      <c r="BA17" s="905">
        <f t="shared" si="1"/>
        <v>2268</v>
      </c>
    </row>
    <row r="18" spans="1:53" ht="14.25">
      <c r="A18" s="570" t="s">
        <v>87</v>
      </c>
      <c r="B18" s="39"/>
      <c r="C18" s="692"/>
      <c r="D18" s="11"/>
      <c r="E18" s="662"/>
      <c r="F18" s="11"/>
      <c r="G18" s="662"/>
      <c r="H18" s="11"/>
      <c r="I18" s="502"/>
      <c r="J18" s="11"/>
      <c r="K18" s="502"/>
      <c r="L18" s="11"/>
      <c r="M18" s="662"/>
      <c r="N18" s="11"/>
      <c r="O18" s="502"/>
      <c r="P18" s="11"/>
      <c r="Q18" s="502"/>
      <c r="R18" s="11"/>
      <c r="S18" s="662"/>
      <c r="T18" s="11"/>
      <c r="U18" s="662"/>
      <c r="V18" s="11"/>
      <c r="W18" s="502"/>
      <c r="X18" s="11"/>
      <c r="Y18" s="684"/>
      <c r="Z18" s="40"/>
      <c r="AA18" s="682"/>
      <c r="AB18" s="11"/>
      <c r="AC18" s="502"/>
      <c r="AD18" s="11"/>
      <c r="AE18" s="662"/>
      <c r="AF18" s="11"/>
      <c r="AG18" s="502"/>
      <c r="AH18" s="11"/>
      <c r="AI18" s="662"/>
      <c r="AJ18" s="11"/>
      <c r="AK18" s="662"/>
      <c r="AL18" s="675"/>
      <c r="AM18" s="662"/>
      <c r="AN18" s="908">
        <v>1556</v>
      </c>
      <c r="AO18" s="907">
        <v>3394</v>
      </c>
      <c r="AP18" s="11"/>
      <c r="AQ18" s="662"/>
      <c r="AR18" s="170"/>
      <c r="AS18" s="502"/>
      <c r="AT18" s="11"/>
      <c r="AU18" s="662"/>
      <c r="AV18" s="8">
        <f t="shared" si="0"/>
        <v>1556</v>
      </c>
      <c r="AW18" s="8">
        <f t="shared" si="0"/>
        <v>3394</v>
      </c>
      <c r="AX18" s="11"/>
      <c r="AY18" s="16"/>
      <c r="AZ18" s="8">
        <f t="shared" si="1"/>
        <v>1556</v>
      </c>
      <c r="BA18" s="905">
        <f t="shared" si="1"/>
        <v>3394</v>
      </c>
    </row>
    <row r="19" spans="1:53" ht="14.25">
      <c r="A19" s="570" t="s">
        <v>88</v>
      </c>
      <c r="B19" s="39"/>
      <c r="C19" s="692"/>
      <c r="D19" s="11"/>
      <c r="E19" s="662">
        <v>22898</v>
      </c>
      <c r="F19" s="11"/>
      <c r="G19" s="662"/>
      <c r="H19" s="11"/>
      <c r="I19" s="502"/>
      <c r="J19" s="11"/>
      <c r="K19" s="502"/>
      <c r="L19" s="11"/>
      <c r="M19" s="662"/>
      <c r="N19" s="11">
        <f>153115+89206</f>
        <v>242321</v>
      </c>
      <c r="O19" s="502">
        <f>48843+448152</f>
        <v>496995</v>
      </c>
      <c r="P19" s="11">
        <v>19968</v>
      </c>
      <c r="Q19" s="502">
        <v>18721</v>
      </c>
      <c r="R19" s="11">
        <v>24974</v>
      </c>
      <c r="S19" s="662">
        <v>29086</v>
      </c>
      <c r="T19" s="11"/>
      <c r="U19" s="662"/>
      <c r="V19" s="11"/>
      <c r="W19" s="502"/>
      <c r="X19" s="11"/>
      <c r="Y19" s="684"/>
      <c r="Z19" s="40">
        <v>26358</v>
      </c>
      <c r="AA19" s="682">
        <v>31379</v>
      </c>
      <c r="AB19" s="11"/>
      <c r="AC19" s="502"/>
      <c r="AD19" s="11">
        <v>18617</v>
      </c>
      <c r="AE19" s="662"/>
      <c r="AF19" s="11"/>
      <c r="AG19" s="502"/>
      <c r="AH19" s="11"/>
      <c r="AI19" s="662"/>
      <c r="AJ19" s="11">
        <v>91493</v>
      </c>
      <c r="AK19" s="662">
        <v>73862</v>
      </c>
      <c r="AL19" s="675"/>
      <c r="AM19" s="662"/>
      <c r="AN19" s="908">
        <v>98167</v>
      </c>
      <c r="AO19" s="907">
        <v>99361</v>
      </c>
      <c r="AP19" s="11"/>
      <c r="AQ19" s="662"/>
      <c r="AR19" s="170"/>
      <c r="AS19" s="502"/>
      <c r="AT19" s="11">
        <v>53556</v>
      </c>
      <c r="AU19" s="662">
        <v>27093</v>
      </c>
      <c r="AV19" s="8">
        <f t="shared" si="0"/>
        <v>575454</v>
      </c>
      <c r="AW19" s="8">
        <f t="shared" si="0"/>
        <v>799395</v>
      </c>
      <c r="AX19" s="11"/>
      <c r="AY19" s="16"/>
      <c r="AZ19" s="8">
        <f t="shared" si="1"/>
        <v>575454</v>
      </c>
      <c r="BA19" s="905">
        <f t="shared" si="1"/>
        <v>799395</v>
      </c>
    </row>
    <row r="20" spans="1:53" ht="28.5">
      <c r="A20" s="570" t="s">
        <v>89</v>
      </c>
      <c r="B20" s="39"/>
      <c r="C20" s="692"/>
      <c r="D20" s="11"/>
      <c r="E20" s="662"/>
      <c r="F20" s="11"/>
      <c r="G20" s="662"/>
      <c r="H20" s="11"/>
      <c r="I20" s="502"/>
      <c r="J20" s="11"/>
      <c r="K20" s="502"/>
      <c r="L20" s="11"/>
      <c r="M20" s="662"/>
      <c r="N20" s="11"/>
      <c r="O20" s="502"/>
      <c r="P20" s="11"/>
      <c r="Q20" s="502"/>
      <c r="R20" s="11"/>
      <c r="S20" s="662">
        <v>3867</v>
      </c>
      <c r="T20" s="11"/>
      <c r="U20" s="662"/>
      <c r="V20" s="11"/>
      <c r="W20" s="502"/>
      <c r="X20" s="11"/>
      <c r="Y20" s="684"/>
      <c r="Z20" s="40"/>
      <c r="AA20" s="682"/>
      <c r="AB20" s="11"/>
      <c r="AC20" s="502"/>
      <c r="AD20" s="11">
        <v>39340</v>
      </c>
      <c r="AE20" s="662">
        <v>18700</v>
      </c>
      <c r="AF20" s="11"/>
      <c r="AG20" s="502"/>
      <c r="AH20" s="11"/>
      <c r="AI20" s="662"/>
      <c r="AJ20" s="11"/>
      <c r="AK20" s="662"/>
      <c r="AL20" s="675"/>
      <c r="AM20" s="662"/>
      <c r="AN20" s="908">
        <v>204065</v>
      </c>
      <c r="AO20" s="907">
        <v>165231</v>
      </c>
      <c r="AP20" s="11">
        <v>9434</v>
      </c>
      <c r="AQ20" s="662">
        <v>28265</v>
      </c>
      <c r="AR20" s="170">
        <v>12347</v>
      </c>
      <c r="AS20" s="502">
        <v>11403</v>
      </c>
      <c r="AT20" s="11">
        <v>3785</v>
      </c>
      <c r="AU20" s="662">
        <v>303</v>
      </c>
      <c r="AV20" s="8">
        <f t="shared" si="0"/>
        <v>268971</v>
      </c>
      <c r="AW20" s="8">
        <f t="shared" si="0"/>
        <v>227769</v>
      </c>
      <c r="AX20" s="11"/>
      <c r="AY20" s="16"/>
      <c r="AZ20" s="8">
        <f t="shared" si="1"/>
        <v>268971</v>
      </c>
      <c r="BA20" s="905">
        <f t="shared" si="1"/>
        <v>227769</v>
      </c>
    </row>
    <row r="21" spans="1:53" ht="14.25">
      <c r="A21" s="570" t="s">
        <v>90</v>
      </c>
      <c r="B21" s="8"/>
      <c r="C21" s="692"/>
      <c r="D21" s="18"/>
      <c r="E21" s="662"/>
      <c r="F21" s="18"/>
      <c r="G21" s="662"/>
      <c r="H21" s="18"/>
      <c r="I21" s="502"/>
      <c r="J21" s="18"/>
      <c r="K21" s="502"/>
      <c r="L21" s="18">
        <v>345</v>
      </c>
      <c r="M21" s="662">
        <v>-39</v>
      </c>
      <c r="N21" s="18"/>
      <c r="O21" s="502"/>
      <c r="P21" s="18"/>
      <c r="Q21" s="502"/>
      <c r="R21" s="18"/>
      <c r="S21" s="662"/>
      <c r="T21" s="18"/>
      <c r="U21" s="662"/>
      <c r="V21" s="18"/>
      <c r="W21" s="502"/>
      <c r="X21" s="18"/>
      <c r="Y21" s="684"/>
      <c r="Z21" s="40"/>
      <c r="AA21" s="682"/>
      <c r="AB21" s="18"/>
      <c r="AC21" s="502"/>
      <c r="AD21" s="680"/>
      <c r="AE21" s="662"/>
      <c r="AF21" s="18"/>
      <c r="AG21" s="502"/>
      <c r="AH21" s="18"/>
      <c r="AI21" s="590"/>
      <c r="AJ21" s="18"/>
      <c r="AK21" s="662"/>
      <c r="AL21" s="675"/>
      <c r="AM21" s="662"/>
      <c r="AN21" s="910"/>
      <c r="AO21" s="907"/>
      <c r="AP21" s="11"/>
      <c r="AQ21" s="662"/>
      <c r="AR21" s="170"/>
      <c r="AS21" s="502"/>
      <c r="AT21" s="18">
        <v>1048</v>
      </c>
      <c r="AU21" s="662">
        <v>-5</v>
      </c>
      <c r="AV21" s="8">
        <f t="shared" si="0"/>
        <v>1393</v>
      </c>
      <c r="AW21" s="8">
        <f t="shared" si="0"/>
        <v>-44</v>
      </c>
      <c r="AX21" s="18"/>
      <c r="AY21" s="16"/>
      <c r="AZ21" s="8">
        <f t="shared" si="1"/>
        <v>1393</v>
      </c>
      <c r="BA21" s="905">
        <f t="shared" si="1"/>
        <v>-44</v>
      </c>
    </row>
    <row r="22" spans="1:53" ht="28.5">
      <c r="A22" s="570" t="s">
        <v>91</v>
      </c>
      <c r="B22" s="39">
        <v>1459725</v>
      </c>
      <c r="C22" s="692">
        <v>1944898</v>
      </c>
      <c r="D22" s="11">
        <v>706773</v>
      </c>
      <c r="E22" s="662">
        <v>675439</v>
      </c>
      <c r="F22" s="11"/>
      <c r="G22" s="662">
        <v>203323</v>
      </c>
      <c r="H22" s="11">
        <v>3872135</v>
      </c>
      <c r="I22" s="502">
        <v>589814</v>
      </c>
      <c r="J22" s="11"/>
      <c r="K22" s="502"/>
      <c r="L22" s="11">
        <f>2377+1751473+138436+21344</f>
        <v>1913630</v>
      </c>
      <c r="M22" s="662">
        <f>21634+2452+8177+28020</f>
        <v>60283</v>
      </c>
      <c r="N22" s="238">
        <v>44993</v>
      </c>
      <c r="O22" s="502">
        <v>27045</v>
      </c>
      <c r="P22" s="11">
        <v>2111196</v>
      </c>
      <c r="Q22" s="502">
        <v>2230603</v>
      </c>
      <c r="R22" s="11">
        <v>1020745</v>
      </c>
      <c r="S22" s="662">
        <v>1827528</v>
      </c>
      <c r="T22" s="11">
        <v>528565</v>
      </c>
      <c r="U22" s="662">
        <v>681531</v>
      </c>
      <c r="V22" s="11">
        <v>172761</v>
      </c>
      <c r="W22" s="502">
        <v>299551</v>
      </c>
      <c r="X22" s="11">
        <v>9810846</v>
      </c>
      <c r="Y22" s="684">
        <v>7021542</v>
      </c>
      <c r="Z22" s="40"/>
      <c r="AA22" s="682"/>
      <c r="AB22" s="11">
        <v>1296355</v>
      </c>
      <c r="AC22" s="502">
        <v>663692</v>
      </c>
      <c r="AD22" s="11">
        <v>21386</v>
      </c>
      <c r="AE22" s="662">
        <v>170463</v>
      </c>
      <c r="AF22" s="11">
        <v>324053</v>
      </c>
      <c r="AG22" s="502">
        <v>90053</v>
      </c>
      <c r="AH22" s="11">
        <v>611608</v>
      </c>
      <c r="AI22" s="662">
        <v>242379</v>
      </c>
      <c r="AJ22" s="11">
        <v>413898</v>
      </c>
      <c r="AK22" s="662">
        <v>277992</v>
      </c>
      <c r="AL22" s="675"/>
      <c r="AM22" s="662"/>
      <c r="AN22" s="910"/>
      <c r="AO22" s="907"/>
      <c r="AP22" s="11">
        <v>25429</v>
      </c>
      <c r="AQ22" s="662"/>
      <c r="AR22" s="170">
        <v>854976</v>
      </c>
      <c r="AS22" s="502">
        <f>83653+34952+174877</f>
        <v>293482</v>
      </c>
      <c r="AT22" s="11">
        <v>1965480</v>
      </c>
      <c r="AU22" s="662">
        <v>1900759</v>
      </c>
      <c r="AV22" s="8">
        <f t="shared" si="0"/>
        <v>27154554</v>
      </c>
      <c r="AW22" s="8">
        <f t="shared" si="0"/>
        <v>19200377</v>
      </c>
      <c r="AX22" s="170"/>
      <c r="AY22" s="16"/>
      <c r="AZ22" s="8">
        <f t="shared" si="1"/>
        <v>27154554</v>
      </c>
      <c r="BA22" s="905">
        <f t="shared" si="1"/>
        <v>19200377</v>
      </c>
    </row>
    <row r="23" spans="1:53" ht="28.5">
      <c r="A23" s="570" t="s">
        <v>92</v>
      </c>
      <c r="B23" s="39"/>
      <c r="C23" s="692"/>
      <c r="D23" s="11"/>
      <c r="E23" s="662"/>
      <c r="F23" s="11"/>
      <c r="G23" s="662"/>
      <c r="H23" s="11"/>
      <c r="I23" s="502"/>
      <c r="J23" s="11"/>
      <c r="K23" s="502"/>
      <c r="L23" s="11"/>
      <c r="M23" s="662"/>
      <c r="N23" s="11"/>
      <c r="O23" s="502"/>
      <c r="P23" s="11"/>
      <c r="Q23" s="502"/>
      <c r="R23" s="11"/>
      <c r="S23" s="662"/>
      <c r="T23" s="11"/>
      <c r="U23" s="662"/>
      <c r="V23" s="11"/>
      <c r="W23" s="502"/>
      <c r="X23" s="11"/>
      <c r="Y23" s="684"/>
      <c r="Z23" s="40"/>
      <c r="AA23" s="682"/>
      <c r="AB23" s="11"/>
      <c r="AC23" s="502"/>
      <c r="AD23" s="11"/>
      <c r="AE23" s="662"/>
      <c r="AF23" s="11"/>
      <c r="AG23" s="502"/>
      <c r="AH23" s="11"/>
      <c r="AI23" s="662"/>
      <c r="AJ23" s="11"/>
      <c r="AK23" s="662"/>
      <c r="AL23" s="675"/>
      <c r="AM23" s="662"/>
      <c r="AN23" s="675"/>
      <c r="AO23" s="907"/>
      <c r="AP23" s="11"/>
      <c r="AQ23" s="662"/>
      <c r="AR23" s="170"/>
      <c r="AS23" s="502"/>
      <c r="AT23" s="11"/>
      <c r="AU23" s="662"/>
      <c r="AV23" s="8">
        <f t="shared" si="0"/>
        <v>0</v>
      </c>
      <c r="AW23" s="8">
        <f t="shared" si="0"/>
        <v>0</v>
      </c>
      <c r="AX23" s="170"/>
      <c r="AY23" s="16"/>
      <c r="AZ23" s="8">
        <f t="shared" si="1"/>
        <v>0</v>
      </c>
      <c r="BA23" s="905">
        <f t="shared" si="1"/>
        <v>0</v>
      </c>
    </row>
    <row r="24" spans="1:53" ht="28.5">
      <c r="A24" s="570" t="s">
        <v>93</v>
      </c>
      <c r="B24" s="39"/>
      <c r="C24" s="692"/>
      <c r="D24" s="11"/>
      <c r="E24" s="662"/>
      <c r="F24" s="11"/>
      <c r="G24" s="662"/>
      <c r="H24" s="11">
        <v>-414969</v>
      </c>
      <c r="I24" s="502">
        <v>822361</v>
      </c>
      <c r="J24" s="11"/>
      <c r="K24" s="502">
        <v>38000</v>
      </c>
      <c r="L24" s="11"/>
      <c r="M24" s="662"/>
      <c r="N24" s="11">
        <v>487827</v>
      </c>
      <c r="O24" s="502">
        <v>1871361</v>
      </c>
      <c r="P24" s="11">
        <v>-4930</v>
      </c>
      <c r="Q24" s="502">
        <v>312187</v>
      </c>
      <c r="R24" s="11"/>
      <c r="S24" s="662">
        <v>51000</v>
      </c>
      <c r="T24" s="11">
        <v>54000</v>
      </c>
      <c r="U24" s="662"/>
      <c r="V24" s="11">
        <v>-207854</v>
      </c>
      <c r="W24" s="502">
        <v>188214</v>
      </c>
      <c r="X24" s="11">
        <v>285843</v>
      </c>
      <c r="Y24" s="684">
        <v>357982</v>
      </c>
      <c r="Z24" s="40">
        <v>5615</v>
      </c>
      <c r="AA24" s="682">
        <v>-5908</v>
      </c>
      <c r="AB24" s="11">
        <v>-27500</v>
      </c>
      <c r="AC24" s="502">
        <v>975297</v>
      </c>
      <c r="AD24" s="11">
        <v>-1635</v>
      </c>
      <c r="AE24" s="662">
        <v>809</v>
      </c>
      <c r="AF24" s="11">
        <v>8000</v>
      </c>
      <c r="AG24" s="502">
        <v>100912</v>
      </c>
      <c r="AH24" s="11"/>
      <c r="AI24" s="662"/>
      <c r="AJ24" s="11"/>
      <c r="AK24" s="662">
        <v>29799</v>
      </c>
      <c r="AL24" s="675"/>
      <c r="AM24" s="662"/>
      <c r="AN24" s="908">
        <v>-246829</v>
      </c>
      <c r="AO24" s="907">
        <v>23517</v>
      </c>
      <c r="AP24" s="11"/>
      <c r="AQ24" s="662">
        <v>33325</v>
      </c>
      <c r="AR24" s="170">
        <v>178400</v>
      </c>
      <c r="AS24" s="502">
        <v>296320</v>
      </c>
      <c r="AT24" s="11"/>
      <c r="AU24" s="662"/>
      <c r="AV24" s="8">
        <f t="shared" si="0"/>
        <v>115968</v>
      </c>
      <c r="AW24" s="8">
        <f t="shared" si="0"/>
        <v>5095176</v>
      </c>
      <c r="AX24" s="170"/>
      <c r="AY24" s="16"/>
      <c r="AZ24" s="8">
        <f t="shared" si="1"/>
        <v>115968</v>
      </c>
      <c r="BA24" s="905">
        <f t="shared" si="1"/>
        <v>5095176</v>
      </c>
    </row>
    <row r="25" spans="1:53" ht="28.5">
      <c r="A25" s="570" t="s">
        <v>94</v>
      </c>
      <c r="B25" s="39"/>
      <c r="C25" s="692"/>
      <c r="D25" s="11">
        <v>12320</v>
      </c>
      <c r="E25" s="662">
        <v>-200</v>
      </c>
      <c r="F25" s="11"/>
      <c r="G25" s="662"/>
      <c r="H25" s="11"/>
      <c r="I25" s="502"/>
      <c r="J25" s="11"/>
      <c r="K25" s="502"/>
      <c r="L25" s="11">
        <v>-393</v>
      </c>
      <c r="M25" s="662">
        <v>55</v>
      </c>
      <c r="N25" s="11"/>
      <c r="O25" s="502"/>
      <c r="P25" s="11"/>
      <c r="Q25" s="502"/>
      <c r="R25" s="11"/>
      <c r="S25" s="662"/>
      <c r="T25" s="11"/>
      <c r="U25" s="662"/>
      <c r="V25" s="11"/>
      <c r="W25" s="502"/>
      <c r="X25" s="11">
        <v>53098</v>
      </c>
      <c r="Y25" s="684"/>
      <c r="Z25" s="40"/>
      <c r="AA25" s="682"/>
      <c r="AB25" s="11">
        <v>7731</v>
      </c>
      <c r="AC25" s="502">
        <v>2016</v>
      </c>
      <c r="AD25" s="11"/>
      <c r="AE25" s="662"/>
      <c r="AF25" s="11"/>
      <c r="AG25" s="502"/>
      <c r="AH25" s="11"/>
      <c r="AI25" s="662"/>
      <c r="AJ25" s="11"/>
      <c r="AK25" s="662"/>
      <c r="AL25" s="675"/>
      <c r="AM25" s="662"/>
      <c r="AN25" s="910"/>
      <c r="AO25" s="907"/>
      <c r="AP25" s="11"/>
      <c r="AQ25" s="662"/>
      <c r="AR25" s="170">
        <v>1344</v>
      </c>
      <c r="AS25" s="502">
        <v>1004</v>
      </c>
      <c r="AT25" s="11">
        <v>3442</v>
      </c>
      <c r="AU25" s="662">
        <v>7929</v>
      </c>
      <c r="AV25" s="8">
        <f t="shared" si="0"/>
        <v>77542</v>
      </c>
      <c r="AW25" s="8">
        <f t="shared" si="0"/>
        <v>10804</v>
      </c>
      <c r="AX25" s="170"/>
      <c r="AY25" s="16"/>
      <c r="AZ25" s="8">
        <f t="shared" si="1"/>
        <v>77542</v>
      </c>
      <c r="BA25" s="905">
        <f t="shared" si="1"/>
        <v>10804</v>
      </c>
    </row>
    <row r="26" spans="1:53" ht="14.25">
      <c r="A26" s="570" t="s">
        <v>140</v>
      </c>
      <c r="B26" s="39"/>
      <c r="C26" s="692"/>
      <c r="D26" s="11"/>
      <c r="E26" s="662"/>
      <c r="F26" s="11"/>
      <c r="G26" s="662">
        <v>28248</v>
      </c>
      <c r="H26" s="11"/>
      <c r="I26" s="502"/>
      <c r="J26" s="11"/>
      <c r="K26" s="502"/>
      <c r="L26" s="11"/>
      <c r="M26" s="662">
        <v>474243</v>
      </c>
      <c r="N26" s="11"/>
      <c r="O26" s="502"/>
      <c r="P26" s="11"/>
      <c r="Q26" s="502"/>
      <c r="R26" s="11"/>
      <c r="S26" s="662"/>
      <c r="T26" s="11"/>
      <c r="U26" s="662"/>
      <c r="V26" s="11"/>
      <c r="W26" s="502"/>
      <c r="X26" s="11"/>
      <c r="Y26" s="684"/>
      <c r="Z26" s="40"/>
      <c r="AA26" s="682"/>
      <c r="AB26" s="11"/>
      <c r="AC26" s="502"/>
      <c r="AD26" s="11"/>
      <c r="AE26" s="662"/>
      <c r="AF26" s="11"/>
      <c r="AG26" s="502"/>
      <c r="AH26" s="11"/>
      <c r="AI26" s="662"/>
      <c r="AJ26" s="11"/>
      <c r="AK26" s="662"/>
      <c r="AL26" s="675"/>
      <c r="AM26" s="662"/>
      <c r="AN26" s="910"/>
      <c r="AO26" s="907">
        <v>1129232</v>
      </c>
      <c r="AP26" s="911"/>
      <c r="AQ26" s="662"/>
      <c r="AR26" s="170">
        <v>1270</v>
      </c>
      <c r="AS26" s="502"/>
      <c r="AT26" s="11"/>
      <c r="AU26" s="662"/>
      <c r="AV26" s="8"/>
      <c r="AW26" s="8"/>
      <c r="AX26" s="170"/>
      <c r="AY26" s="16"/>
      <c r="AZ26" s="8"/>
      <c r="BA26" s="905"/>
    </row>
    <row r="27" spans="1:53" s="611" customFormat="1" ht="14.25">
      <c r="A27" s="608" t="s">
        <v>217</v>
      </c>
      <c r="B27" s="609">
        <f aca="true" t="shared" si="4" ref="B27:AE27">SUM(B14:B25)</f>
        <v>1791449</v>
      </c>
      <c r="C27" s="609">
        <f t="shared" si="4"/>
        <v>2333274</v>
      </c>
      <c r="D27" s="609">
        <f>SUM(D14:D26)</f>
        <v>947086</v>
      </c>
      <c r="E27" s="609">
        <f t="shared" si="4"/>
        <v>786082</v>
      </c>
      <c r="F27" s="609">
        <f>SUM(F14:F26)</f>
        <v>0</v>
      </c>
      <c r="G27" s="609">
        <f>SUM(G14:G26)</f>
        <v>286976</v>
      </c>
      <c r="H27" s="609">
        <f t="shared" si="4"/>
        <v>3769547</v>
      </c>
      <c r="I27" s="609">
        <f t="shared" si="4"/>
        <v>1700028</v>
      </c>
      <c r="J27" s="609">
        <f t="shared" si="4"/>
        <v>90357</v>
      </c>
      <c r="K27" s="609">
        <f t="shared" si="4"/>
        <v>121220</v>
      </c>
      <c r="L27" s="609">
        <f>SUM(L14:L26)</f>
        <v>1952990</v>
      </c>
      <c r="M27" s="609">
        <f>SUM(M14:M26)</f>
        <v>591367</v>
      </c>
      <c r="N27" s="609">
        <f>SUM(N14:N26)</f>
        <v>816508</v>
      </c>
      <c r="O27" s="609">
        <f>SUM(O14:O26)</f>
        <v>3085386</v>
      </c>
      <c r="P27" s="609">
        <f t="shared" si="4"/>
        <v>2131637</v>
      </c>
      <c r="Q27" s="609">
        <f t="shared" si="4"/>
        <v>2567866</v>
      </c>
      <c r="R27" s="609">
        <f t="shared" si="4"/>
        <v>1047680</v>
      </c>
      <c r="S27" s="609">
        <f t="shared" si="4"/>
        <v>1912625</v>
      </c>
      <c r="T27" s="609">
        <f t="shared" si="4"/>
        <v>615567</v>
      </c>
      <c r="U27" s="609">
        <f t="shared" si="4"/>
        <v>725975</v>
      </c>
      <c r="V27" s="609">
        <f t="shared" si="4"/>
        <v>361561</v>
      </c>
      <c r="W27" s="609">
        <f t="shared" si="4"/>
        <v>642658</v>
      </c>
      <c r="X27" s="609">
        <f t="shared" si="4"/>
        <v>10565796</v>
      </c>
      <c r="Y27" s="609">
        <f t="shared" si="4"/>
        <v>7687092</v>
      </c>
      <c r="Z27" s="609">
        <f t="shared" si="4"/>
        <v>76084</v>
      </c>
      <c r="AA27" s="609">
        <f t="shared" si="4"/>
        <v>73034</v>
      </c>
      <c r="AB27" s="609">
        <f>SUM(AB14:AB26)</f>
        <v>1395010</v>
      </c>
      <c r="AC27" s="609">
        <f t="shared" si="4"/>
        <v>1736605</v>
      </c>
      <c r="AD27" s="609">
        <f t="shared" si="4"/>
        <v>136964</v>
      </c>
      <c r="AE27" s="609">
        <f t="shared" si="4"/>
        <v>224720</v>
      </c>
      <c r="AF27" s="609">
        <f>SUM(AF14:AF26)</f>
        <v>665213</v>
      </c>
      <c r="AG27" s="609">
        <f>SUM(AG14:AG26)</f>
        <v>460516</v>
      </c>
      <c r="AH27" s="609">
        <f aca="true" t="shared" si="5" ref="AH27:AU27">SUM(AH14:AH25)</f>
        <v>710561</v>
      </c>
      <c r="AI27" s="673">
        <f t="shared" si="5"/>
        <v>554850</v>
      </c>
      <c r="AJ27" s="609">
        <f t="shared" si="5"/>
        <v>702853</v>
      </c>
      <c r="AK27" s="609">
        <f t="shared" si="5"/>
        <v>767708</v>
      </c>
      <c r="AL27" s="609">
        <f t="shared" si="5"/>
        <v>0</v>
      </c>
      <c r="AM27" s="673">
        <f t="shared" si="5"/>
        <v>0</v>
      </c>
      <c r="AN27" s="609">
        <f>SUM(AN14:AN26)</f>
        <v>67890</v>
      </c>
      <c r="AO27" s="609">
        <f>SUM(AO14:AO26)</f>
        <v>1426618</v>
      </c>
      <c r="AP27" s="610">
        <f t="shared" si="5"/>
        <v>39215</v>
      </c>
      <c r="AQ27" s="610">
        <f t="shared" si="5"/>
        <v>71706</v>
      </c>
      <c r="AR27" s="609">
        <f>SUM(AR14:AR26)</f>
        <v>1116129</v>
      </c>
      <c r="AS27" s="609">
        <f t="shared" si="5"/>
        <v>666988</v>
      </c>
      <c r="AT27" s="609">
        <f t="shared" si="5"/>
        <v>2058939</v>
      </c>
      <c r="AU27" s="609">
        <f t="shared" si="5"/>
        <v>1957749</v>
      </c>
      <c r="AV27" s="609">
        <f aca="true" t="shared" si="6" ref="AV27:AW29">SUM(B27+D27+F27+H27+J27+L27+N27+P27+R27+T27+V27+X27+Z27+AB27+AD27+AF27+AH27+AJ27+AL27+AN27+AP27+AR27+AT27)</f>
        <v>31059036</v>
      </c>
      <c r="AW27" s="609">
        <f t="shared" si="6"/>
        <v>30381043</v>
      </c>
      <c r="AX27" s="609">
        <f>SUM(AX14:AX25)</f>
        <v>3415</v>
      </c>
      <c r="AY27" s="609">
        <f>SUM(AY14:AY25)</f>
        <v>3334</v>
      </c>
      <c r="AZ27" s="609">
        <f aca="true" t="shared" si="7" ref="AZ27:BA29">AV27+AX27</f>
        <v>31062451</v>
      </c>
      <c r="BA27" s="610">
        <f t="shared" si="7"/>
        <v>30384377</v>
      </c>
    </row>
    <row r="28" spans="1:53" ht="14.25">
      <c r="A28" s="570" t="s">
        <v>95</v>
      </c>
      <c r="B28" s="39">
        <v>846547</v>
      </c>
      <c r="C28" s="692">
        <v>821957</v>
      </c>
      <c r="D28" s="11">
        <v>-897978</v>
      </c>
      <c r="E28" s="662">
        <v>-721345</v>
      </c>
      <c r="F28" s="11"/>
      <c r="G28" s="662">
        <v>95716</v>
      </c>
      <c r="H28" s="11">
        <v>4283374</v>
      </c>
      <c r="I28" s="502">
        <v>4812910</v>
      </c>
      <c r="J28" s="11">
        <v>-1228499</v>
      </c>
      <c r="K28" s="502">
        <v>-1086421</v>
      </c>
      <c r="L28" s="11">
        <v>-1138864</v>
      </c>
      <c r="M28" s="662">
        <v>196789</v>
      </c>
      <c r="N28" s="11">
        <v>1000916</v>
      </c>
      <c r="O28" s="502">
        <v>-1418932</v>
      </c>
      <c r="P28" s="11">
        <v>-1869249</v>
      </c>
      <c r="Q28" s="502">
        <v>-2023865</v>
      </c>
      <c r="R28" s="11">
        <v>-298345</v>
      </c>
      <c r="S28" s="662">
        <v>-1149229</v>
      </c>
      <c r="T28" s="11">
        <v>-444794</v>
      </c>
      <c r="U28" s="662">
        <v>-576700</v>
      </c>
      <c r="V28" s="11">
        <v>10444245</v>
      </c>
      <c r="W28" s="502">
        <v>10272649</v>
      </c>
      <c r="X28" s="11">
        <v>9650065</v>
      </c>
      <c r="Y28" s="684">
        <v>8960798</v>
      </c>
      <c r="Z28" s="40">
        <v>286420</v>
      </c>
      <c r="AA28" s="682">
        <v>291428</v>
      </c>
      <c r="AB28" s="11">
        <v>-449066</v>
      </c>
      <c r="AC28" s="502">
        <v>-1009447</v>
      </c>
      <c r="AD28" s="11">
        <v>1700973</v>
      </c>
      <c r="AE28" s="662">
        <v>1326870</v>
      </c>
      <c r="AF28" s="11">
        <v>4357366</v>
      </c>
      <c r="AG28" s="502">
        <v>3531287</v>
      </c>
      <c r="AH28" s="11">
        <v>529964</v>
      </c>
      <c r="AI28" s="662">
        <v>472903</v>
      </c>
      <c r="AJ28" s="11">
        <v>53135</v>
      </c>
      <c r="AK28" s="662">
        <v>254225</v>
      </c>
      <c r="AL28" s="675"/>
      <c r="AM28" s="662"/>
      <c r="AN28" s="908">
        <v>9203347</v>
      </c>
      <c r="AO28" s="907">
        <v>8919653</v>
      </c>
      <c r="AP28" s="11">
        <v>220933</v>
      </c>
      <c r="AQ28" s="662">
        <v>85091</v>
      </c>
      <c r="AR28" s="170">
        <v>-201989</v>
      </c>
      <c r="AS28" s="502">
        <v>329487</v>
      </c>
      <c r="AT28" s="11">
        <v>-696013</v>
      </c>
      <c r="AU28" s="662">
        <v>-685187</v>
      </c>
      <c r="AV28" s="8">
        <f t="shared" si="6"/>
        <v>35352488</v>
      </c>
      <c r="AW28" s="8">
        <f t="shared" si="6"/>
        <v>31700637</v>
      </c>
      <c r="AX28" s="170">
        <v>108843</v>
      </c>
      <c r="AY28" s="16">
        <v>318912</v>
      </c>
      <c r="AZ28" s="8">
        <f t="shared" si="7"/>
        <v>35461331</v>
      </c>
      <c r="BA28" s="905">
        <f t="shared" si="7"/>
        <v>32019549</v>
      </c>
    </row>
    <row r="29" spans="1:53" ht="14.25">
      <c r="A29" s="570" t="s">
        <v>96</v>
      </c>
      <c r="B29" s="39"/>
      <c r="C29" s="692"/>
      <c r="D29" s="11"/>
      <c r="E29" s="662"/>
      <c r="F29" s="11"/>
      <c r="G29" s="662"/>
      <c r="H29" s="11"/>
      <c r="I29" s="502"/>
      <c r="J29" s="11"/>
      <c r="K29" s="502"/>
      <c r="L29" s="11"/>
      <c r="M29" s="662"/>
      <c r="N29" s="11"/>
      <c r="O29" s="502"/>
      <c r="P29" s="11"/>
      <c r="Q29" s="502"/>
      <c r="R29" s="11"/>
      <c r="S29" s="662"/>
      <c r="T29" s="11"/>
      <c r="U29" s="662"/>
      <c r="V29" s="11">
        <v>22448</v>
      </c>
      <c r="W29" s="502">
        <v>437184</v>
      </c>
      <c r="X29" s="11"/>
      <c r="Y29" s="684"/>
      <c r="Z29" s="40">
        <v>41703</v>
      </c>
      <c r="AA29" s="682">
        <v>39410</v>
      </c>
      <c r="AB29" s="11"/>
      <c r="AC29" s="502"/>
      <c r="AD29" s="11"/>
      <c r="AE29" s="662"/>
      <c r="AF29" s="11">
        <v>183930</v>
      </c>
      <c r="AG29" s="502">
        <v>449651</v>
      </c>
      <c r="AH29" s="11">
        <v>77163</v>
      </c>
      <c r="AI29" s="662">
        <v>30787</v>
      </c>
      <c r="AJ29" s="11"/>
      <c r="AK29" s="662"/>
      <c r="AL29" s="675"/>
      <c r="AM29" s="662"/>
      <c r="AN29" s="675"/>
      <c r="AO29" s="907"/>
      <c r="AP29" s="11"/>
      <c r="AQ29" s="662"/>
      <c r="AR29" s="170"/>
      <c r="AS29" s="502"/>
      <c r="AT29" s="11">
        <v>-156598</v>
      </c>
      <c r="AU29" s="662">
        <v>-155588</v>
      </c>
      <c r="AV29" s="8">
        <f t="shared" si="6"/>
        <v>168646</v>
      </c>
      <c r="AW29" s="8">
        <f t="shared" si="6"/>
        <v>801444</v>
      </c>
      <c r="AX29" s="170">
        <v>38034</v>
      </c>
      <c r="AY29" s="16">
        <v>111600</v>
      </c>
      <c r="AZ29" s="8">
        <f t="shared" si="7"/>
        <v>206680</v>
      </c>
      <c r="BA29" s="905">
        <f t="shared" si="7"/>
        <v>913044</v>
      </c>
    </row>
    <row r="30" spans="1:53" ht="14.25">
      <c r="A30" s="570" t="s">
        <v>213</v>
      </c>
      <c r="B30" s="39"/>
      <c r="C30" s="692"/>
      <c r="D30" s="11"/>
      <c r="E30" s="662"/>
      <c r="F30" s="11"/>
      <c r="G30" s="662"/>
      <c r="H30" s="11">
        <v>820120</v>
      </c>
      <c r="I30" s="502">
        <v>694835</v>
      </c>
      <c r="J30" s="11"/>
      <c r="K30" s="502"/>
      <c r="L30" s="11"/>
      <c r="M30" s="662"/>
      <c r="N30" s="11"/>
      <c r="O30" s="502"/>
      <c r="P30" s="11"/>
      <c r="Q30" s="502"/>
      <c r="R30" s="11"/>
      <c r="S30" s="662"/>
      <c r="T30" s="11"/>
      <c r="U30" s="662"/>
      <c r="V30" s="11"/>
      <c r="W30" s="502"/>
      <c r="X30" s="11">
        <v>-713671</v>
      </c>
      <c r="Y30" s="684">
        <v>-78292</v>
      </c>
      <c r="Z30" s="40"/>
      <c r="AA30" s="682"/>
      <c r="AB30" s="11"/>
      <c r="AC30" s="502"/>
      <c r="AD30" s="11">
        <v>263366</v>
      </c>
      <c r="AE30" s="662">
        <v>221107</v>
      </c>
      <c r="AF30" s="11"/>
      <c r="AG30" s="502"/>
      <c r="AH30" s="11"/>
      <c r="AI30" s="662"/>
      <c r="AJ30" s="11"/>
      <c r="AK30" s="662"/>
      <c r="AL30" s="675"/>
      <c r="AM30" s="662"/>
      <c r="AN30" s="675"/>
      <c r="AO30" s="907"/>
      <c r="AP30" s="11">
        <v>35870</v>
      </c>
      <c r="AQ30" s="662">
        <v>12389</v>
      </c>
      <c r="AR30" s="170"/>
      <c r="AS30" s="502"/>
      <c r="AT30" s="11"/>
      <c r="AU30" s="662"/>
      <c r="AV30" s="8"/>
      <c r="AW30" s="8"/>
      <c r="AX30" s="170"/>
      <c r="AY30" s="16"/>
      <c r="AZ30" s="8"/>
      <c r="BA30" s="905"/>
    </row>
    <row r="31" spans="1:53" ht="14.25">
      <c r="A31" s="570" t="s">
        <v>97</v>
      </c>
      <c r="B31" s="39"/>
      <c r="C31" s="692"/>
      <c r="D31" s="11"/>
      <c r="E31" s="662"/>
      <c r="F31" s="11"/>
      <c r="G31" s="662"/>
      <c r="H31" s="11"/>
      <c r="I31" s="502"/>
      <c r="J31" s="11"/>
      <c r="K31" s="502"/>
      <c r="L31" s="11"/>
      <c r="M31" s="662"/>
      <c r="N31" s="11">
        <v>-130119</v>
      </c>
      <c r="O31" s="502"/>
      <c r="P31" s="11"/>
      <c r="Q31" s="502"/>
      <c r="R31" s="11">
        <v>-4834</v>
      </c>
      <c r="S31" s="662">
        <v>-40478</v>
      </c>
      <c r="T31" s="11"/>
      <c r="U31" s="662"/>
      <c r="V31" s="11"/>
      <c r="W31" s="502"/>
      <c r="X31" s="11">
        <v>10</v>
      </c>
      <c r="Y31" s="684">
        <v>-20</v>
      </c>
      <c r="Z31" s="40"/>
      <c r="AA31" s="682"/>
      <c r="AB31" s="11"/>
      <c r="AC31" s="502"/>
      <c r="AD31" s="11"/>
      <c r="AE31" s="662"/>
      <c r="AF31" s="11"/>
      <c r="AG31" s="502"/>
      <c r="AH31" s="11"/>
      <c r="AI31" s="662"/>
      <c r="AJ31" s="11"/>
      <c r="AK31" s="662"/>
      <c r="AL31" s="675"/>
      <c r="AM31" s="662"/>
      <c r="AN31" s="675"/>
      <c r="AO31" s="907"/>
      <c r="AP31" s="11"/>
      <c r="AQ31" s="662"/>
      <c r="AR31" s="170"/>
      <c r="AS31" s="502"/>
      <c r="AT31" s="11"/>
      <c r="AU31" s="662"/>
      <c r="AV31" s="8">
        <f aca="true" t="shared" si="8" ref="AV31:AW39">SUM(B31+D31+F31+H31+J31+L31+N31+P31+R31+T31+V31+X31+Z31+AB31+AD31+AF31+AH31+AJ31+AL31+AN31+AP31+AR31+AT31)</f>
        <v>-134943</v>
      </c>
      <c r="AW31" s="8">
        <f t="shared" si="8"/>
        <v>-40498</v>
      </c>
      <c r="AX31" s="170"/>
      <c r="AY31" s="16"/>
      <c r="AZ31" s="8">
        <f aca="true" t="shared" si="9" ref="AZ31:BA39">AV31+AX31</f>
        <v>-134943</v>
      </c>
      <c r="BA31" s="905">
        <f t="shared" si="9"/>
        <v>-40498</v>
      </c>
    </row>
    <row r="32" spans="1:53" ht="14.25">
      <c r="A32" s="570" t="s">
        <v>98</v>
      </c>
      <c r="B32" s="11"/>
      <c r="C32" s="692"/>
      <c r="D32" s="11"/>
      <c r="E32" s="662"/>
      <c r="F32" s="11"/>
      <c r="G32" s="662"/>
      <c r="H32" s="11"/>
      <c r="I32" s="502"/>
      <c r="J32" s="11"/>
      <c r="K32" s="502"/>
      <c r="L32" s="11"/>
      <c r="M32" s="662"/>
      <c r="N32" s="11"/>
      <c r="O32" s="502"/>
      <c r="P32" s="11"/>
      <c r="Q32" s="502"/>
      <c r="R32" s="11"/>
      <c r="S32" s="662"/>
      <c r="T32" s="11"/>
      <c r="U32" s="662"/>
      <c r="V32" s="11"/>
      <c r="W32" s="502"/>
      <c r="X32" s="11"/>
      <c r="Y32" s="684"/>
      <c r="Z32" s="40"/>
      <c r="AA32" s="682"/>
      <c r="AB32" s="11"/>
      <c r="AC32" s="502"/>
      <c r="AD32" s="11"/>
      <c r="AE32" s="662"/>
      <c r="AF32" s="11"/>
      <c r="AG32" s="502"/>
      <c r="AH32" s="11"/>
      <c r="AI32" s="662"/>
      <c r="AJ32" s="11"/>
      <c r="AK32" s="662"/>
      <c r="AL32" s="675"/>
      <c r="AM32" s="662"/>
      <c r="AN32" s="908">
        <v>-31379</v>
      </c>
      <c r="AO32" s="907">
        <v>4436</v>
      </c>
      <c r="AP32" s="11"/>
      <c r="AQ32" s="662"/>
      <c r="AR32" s="170"/>
      <c r="AS32" s="502"/>
      <c r="AT32" s="11"/>
      <c r="AU32" s="662"/>
      <c r="AV32" s="8">
        <f t="shared" si="8"/>
        <v>-31379</v>
      </c>
      <c r="AW32" s="8">
        <f t="shared" si="8"/>
        <v>4436</v>
      </c>
      <c r="AX32" s="170"/>
      <c r="AY32" s="16"/>
      <c r="AZ32" s="8">
        <f t="shared" si="9"/>
        <v>-31379</v>
      </c>
      <c r="BA32" s="905">
        <f t="shared" si="9"/>
        <v>4436</v>
      </c>
    </row>
    <row r="33" spans="1:53" ht="14.25">
      <c r="A33" s="570" t="s">
        <v>99</v>
      </c>
      <c r="B33" s="39">
        <v>699149</v>
      </c>
      <c r="C33" s="692">
        <v>821957</v>
      </c>
      <c r="D33" s="11">
        <v>-897978</v>
      </c>
      <c r="E33" s="662">
        <v>-721345</v>
      </c>
      <c r="F33" s="11"/>
      <c r="G33" s="662">
        <v>95716</v>
      </c>
      <c r="H33" s="11">
        <v>3463254</v>
      </c>
      <c r="I33" s="502">
        <v>4118075</v>
      </c>
      <c r="J33" s="11">
        <v>-1228499</v>
      </c>
      <c r="K33" s="502">
        <v>-1086421</v>
      </c>
      <c r="L33" s="11">
        <v>-1138864</v>
      </c>
      <c r="M33" s="662">
        <v>196789</v>
      </c>
      <c r="N33" s="11">
        <v>870797</v>
      </c>
      <c r="O33" s="502">
        <v>-1418932</v>
      </c>
      <c r="P33" s="11">
        <v>-1869249</v>
      </c>
      <c r="Q33" s="502">
        <v>-2023864</v>
      </c>
      <c r="R33" s="11">
        <v>-303179</v>
      </c>
      <c r="S33" s="662">
        <v>-1189707</v>
      </c>
      <c r="T33" s="11">
        <v>-444794</v>
      </c>
      <c r="U33" s="662">
        <v>-576700</v>
      </c>
      <c r="V33" s="11">
        <v>10421797</v>
      </c>
      <c r="W33" s="502">
        <v>9835465</v>
      </c>
      <c r="X33" s="11">
        <v>8936404</v>
      </c>
      <c r="Y33" s="684">
        <v>8882486</v>
      </c>
      <c r="Z33" s="40">
        <v>244717</v>
      </c>
      <c r="AA33" s="682">
        <v>291428</v>
      </c>
      <c r="AB33" s="11">
        <v>-449066</v>
      </c>
      <c r="AC33" s="502">
        <v>-1009447</v>
      </c>
      <c r="AD33" s="11">
        <v>1437607</v>
      </c>
      <c r="AE33" s="662">
        <v>1105763</v>
      </c>
      <c r="AF33" s="11">
        <v>4173436</v>
      </c>
      <c r="AG33" s="502">
        <v>3081636</v>
      </c>
      <c r="AH33" s="11">
        <v>452801</v>
      </c>
      <c r="AI33" s="662">
        <v>442116</v>
      </c>
      <c r="AJ33" s="11">
        <v>53135</v>
      </c>
      <c r="AK33" s="662">
        <v>254225</v>
      </c>
      <c r="AL33" s="675"/>
      <c r="AM33" s="662"/>
      <c r="AN33" s="908">
        <v>9234728</v>
      </c>
      <c r="AO33" s="907">
        <v>8915218</v>
      </c>
      <c r="AP33" s="11">
        <v>185062</v>
      </c>
      <c r="AQ33" s="662">
        <v>72701</v>
      </c>
      <c r="AR33" s="170">
        <v>-201989</v>
      </c>
      <c r="AS33" s="502">
        <v>329487</v>
      </c>
      <c r="AT33" s="11">
        <v>-852611</v>
      </c>
      <c r="AU33" s="662">
        <v>-840775</v>
      </c>
      <c r="AV33" s="8">
        <f t="shared" si="8"/>
        <v>32786658</v>
      </c>
      <c r="AW33" s="8">
        <f t="shared" si="8"/>
        <v>29575871</v>
      </c>
      <c r="AX33" s="170">
        <v>70809</v>
      </c>
      <c r="AY33" s="16">
        <v>207312</v>
      </c>
      <c r="AZ33" s="8">
        <f t="shared" si="9"/>
        <v>32857467</v>
      </c>
      <c r="BA33" s="905">
        <f t="shared" si="9"/>
        <v>29783183</v>
      </c>
    </row>
    <row r="34" spans="1:53" ht="14.25">
      <c r="A34" s="571" t="s">
        <v>100</v>
      </c>
      <c r="B34" s="8"/>
      <c r="C34" s="692"/>
      <c r="D34" s="18"/>
      <c r="E34" s="662"/>
      <c r="F34" s="18"/>
      <c r="G34" s="662"/>
      <c r="H34" s="18"/>
      <c r="I34" s="502"/>
      <c r="J34" s="18"/>
      <c r="K34" s="502"/>
      <c r="L34" s="18"/>
      <c r="M34" s="662"/>
      <c r="N34" s="18"/>
      <c r="O34" s="502"/>
      <c r="P34" s="238"/>
      <c r="Q34" s="502"/>
      <c r="R34" s="18"/>
      <c r="S34" s="662"/>
      <c r="T34" s="18"/>
      <c r="U34" s="662"/>
      <c r="V34" s="18"/>
      <c r="W34" s="502"/>
      <c r="X34" s="18"/>
      <c r="Y34" s="684"/>
      <c r="Z34" s="40"/>
      <c r="AA34" s="682"/>
      <c r="AB34" s="18"/>
      <c r="AC34" s="502"/>
      <c r="AD34" s="680"/>
      <c r="AE34" s="662"/>
      <c r="AF34" s="18"/>
      <c r="AG34" s="502"/>
      <c r="AH34" s="18"/>
      <c r="AI34" s="590"/>
      <c r="AJ34" s="18"/>
      <c r="AK34" s="662"/>
      <c r="AL34" s="675"/>
      <c r="AM34" s="662"/>
      <c r="AN34" s="675"/>
      <c r="AO34" s="907"/>
      <c r="AP34" s="11"/>
      <c r="AQ34" s="662"/>
      <c r="AR34" s="170"/>
      <c r="AS34" s="502"/>
      <c r="AT34" s="18"/>
      <c r="AU34" s="662"/>
      <c r="AV34" s="8">
        <f t="shared" si="8"/>
        <v>0</v>
      </c>
      <c r="AW34" s="8">
        <f t="shared" si="8"/>
        <v>0</v>
      </c>
      <c r="AX34" s="18"/>
      <c r="AY34" s="16"/>
      <c r="AZ34" s="8">
        <f t="shared" si="9"/>
        <v>0</v>
      </c>
      <c r="BA34" s="905">
        <f t="shared" si="9"/>
        <v>0</v>
      </c>
    </row>
    <row r="35" spans="1:53" ht="28.5">
      <c r="A35" s="570" t="s">
        <v>101</v>
      </c>
      <c r="B35" s="39">
        <v>-85338</v>
      </c>
      <c r="C35" s="692">
        <v>-1129634</v>
      </c>
      <c r="D35" s="11">
        <v>-6155209</v>
      </c>
      <c r="E35" s="662">
        <v>-5370742</v>
      </c>
      <c r="F35" s="11"/>
      <c r="G35" s="662">
        <v>-12973568</v>
      </c>
      <c r="H35" s="11">
        <v>86617668</v>
      </c>
      <c r="I35" s="502">
        <v>83393632</v>
      </c>
      <c r="J35" s="11">
        <v>-27075518</v>
      </c>
      <c r="K35" s="502">
        <v>-24928221</v>
      </c>
      <c r="L35" s="11">
        <v>1105083</v>
      </c>
      <c r="M35" s="662">
        <v>54208</v>
      </c>
      <c r="N35" s="11">
        <v>-2973027</v>
      </c>
      <c r="O35" s="502">
        <v>-1628700</v>
      </c>
      <c r="P35" s="18">
        <v>-13932980</v>
      </c>
      <c r="Q35" s="502">
        <v>-11081436</v>
      </c>
      <c r="R35" s="11">
        <v>-6975923</v>
      </c>
      <c r="S35" s="662">
        <v>-7258469</v>
      </c>
      <c r="T35" s="11">
        <v>-18188485</v>
      </c>
      <c r="U35" s="662">
        <v>-16633363</v>
      </c>
      <c r="V35" s="11">
        <v>45692925</v>
      </c>
      <c r="W35" s="502">
        <v>32740263</v>
      </c>
      <c r="X35" s="11">
        <v>26444686</v>
      </c>
      <c r="Y35" s="684">
        <v>19842696</v>
      </c>
      <c r="Z35" s="170">
        <v>1191619</v>
      </c>
      <c r="AA35" s="682">
        <v>1126214</v>
      </c>
      <c r="AB35" s="11">
        <v>-1992844</v>
      </c>
      <c r="AC35" s="502">
        <v>-1018662</v>
      </c>
      <c r="AD35" s="11">
        <v>27912133</v>
      </c>
      <c r="AE35" s="662">
        <v>21830354</v>
      </c>
      <c r="AF35" s="11">
        <v>5182919</v>
      </c>
      <c r="AG35" s="502">
        <v>7538521</v>
      </c>
      <c r="AH35" s="11">
        <v>-7017637</v>
      </c>
      <c r="AI35" s="662">
        <v>-7945350</v>
      </c>
      <c r="AJ35" s="11">
        <v>-1973481</v>
      </c>
      <c r="AK35" s="662">
        <v>-2324090</v>
      </c>
      <c r="AL35" s="675"/>
      <c r="AM35" s="662"/>
      <c r="AN35" s="908">
        <v>78823269</v>
      </c>
      <c r="AO35" s="907">
        <v>64601438</v>
      </c>
      <c r="AP35" s="11">
        <v>4704449</v>
      </c>
      <c r="AQ35" s="662">
        <v>4463880</v>
      </c>
      <c r="AR35" s="170">
        <v>1279691</v>
      </c>
      <c r="AS35" s="502">
        <v>726224</v>
      </c>
      <c r="AT35" s="11">
        <v>1341685</v>
      </c>
      <c r="AU35" s="662">
        <v>900986</v>
      </c>
      <c r="AV35" s="8">
        <f t="shared" si="8"/>
        <v>193925685</v>
      </c>
      <c r="AW35" s="8">
        <f t="shared" si="8"/>
        <v>144926181</v>
      </c>
      <c r="AX35" s="11"/>
      <c r="AY35" s="16"/>
      <c r="AZ35" s="8">
        <f t="shared" si="9"/>
        <v>193925685</v>
      </c>
      <c r="BA35" s="905">
        <f t="shared" si="9"/>
        <v>144926181</v>
      </c>
    </row>
    <row r="36" spans="1:53" ht="28.5">
      <c r="A36" s="570" t="s">
        <v>102</v>
      </c>
      <c r="B36" s="39"/>
      <c r="C36" s="692"/>
      <c r="D36" s="11"/>
      <c r="E36" s="662"/>
      <c r="F36" s="11"/>
      <c r="G36" s="662"/>
      <c r="H36" s="11"/>
      <c r="I36" s="502"/>
      <c r="J36" s="11"/>
      <c r="K36" s="502"/>
      <c r="L36" s="11"/>
      <c r="M36" s="662"/>
      <c r="N36" s="11"/>
      <c r="O36" s="502"/>
      <c r="P36" s="11"/>
      <c r="Q36" s="502"/>
      <c r="R36" s="11"/>
      <c r="S36" s="662"/>
      <c r="T36" s="11"/>
      <c r="U36" s="662"/>
      <c r="V36" s="11"/>
      <c r="W36" s="502"/>
      <c r="X36" s="11"/>
      <c r="Y36" s="684">
        <v>1148672</v>
      </c>
      <c r="Z36" s="170"/>
      <c r="AA36" s="682"/>
      <c r="AB36" s="11"/>
      <c r="AC36" s="502"/>
      <c r="AD36" s="11"/>
      <c r="AE36" s="662"/>
      <c r="AF36" s="11"/>
      <c r="AG36" s="502">
        <v>709961</v>
      </c>
      <c r="AH36" s="11"/>
      <c r="AI36" s="662"/>
      <c r="AJ36" s="11"/>
      <c r="AK36" s="662"/>
      <c r="AL36" s="675"/>
      <c r="AM36" s="662"/>
      <c r="AN36" s="910"/>
      <c r="AO36" s="907"/>
      <c r="AP36" s="11"/>
      <c r="AQ36" s="662">
        <v>57400</v>
      </c>
      <c r="AR36" s="170"/>
      <c r="AS36" s="502"/>
      <c r="AT36" s="11"/>
      <c r="AU36" s="662"/>
      <c r="AV36" s="8">
        <f t="shared" si="8"/>
        <v>0</v>
      </c>
      <c r="AW36" s="8">
        <f t="shared" si="8"/>
        <v>1916033</v>
      </c>
      <c r="AX36" s="11"/>
      <c r="AY36" s="16"/>
      <c r="AZ36" s="8">
        <f t="shared" si="9"/>
        <v>0</v>
      </c>
      <c r="BA36" s="905">
        <f t="shared" si="9"/>
        <v>1916033</v>
      </c>
    </row>
    <row r="37" spans="1:53" ht="28.5">
      <c r="A37" s="572" t="s">
        <v>103</v>
      </c>
      <c r="B37" s="39"/>
      <c r="C37" s="168"/>
      <c r="D37" s="11"/>
      <c r="E37" s="662"/>
      <c r="F37" s="11"/>
      <c r="G37" s="662"/>
      <c r="H37" s="11"/>
      <c r="I37" s="502">
        <v>1054963</v>
      </c>
      <c r="J37" s="11"/>
      <c r="K37" s="502"/>
      <c r="L37" s="11"/>
      <c r="M37" s="662"/>
      <c r="N37" s="11"/>
      <c r="O37" s="502"/>
      <c r="P37" s="11"/>
      <c r="Q37" s="502"/>
      <c r="R37" s="11"/>
      <c r="S37" s="662"/>
      <c r="T37" s="11"/>
      <c r="U37" s="662"/>
      <c r="V37" s="11"/>
      <c r="W37" s="502"/>
      <c r="X37" s="11"/>
      <c r="Y37" s="684">
        <v>2225551</v>
      </c>
      <c r="Z37" s="170"/>
      <c r="AA37" s="682">
        <v>-800000</v>
      </c>
      <c r="AB37" s="11"/>
      <c r="AC37" s="502">
        <v>-112500</v>
      </c>
      <c r="AD37" s="11"/>
      <c r="AE37" s="662"/>
      <c r="AF37" s="11"/>
      <c r="AG37" s="502">
        <v>2647962</v>
      </c>
      <c r="AH37" s="11"/>
      <c r="AI37" s="662"/>
      <c r="AJ37" s="11"/>
      <c r="AK37" s="662"/>
      <c r="AL37" s="675"/>
      <c r="AM37" s="662"/>
      <c r="AN37" s="910"/>
      <c r="AO37" s="907"/>
      <c r="AP37" s="11"/>
      <c r="AQ37" s="662"/>
      <c r="AR37" s="170"/>
      <c r="AS37" s="502">
        <v>32371</v>
      </c>
      <c r="AT37" s="11"/>
      <c r="AU37" s="662"/>
      <c r="AV37" s="8">
        <f t="shared" si="8"/>
        <v>0</v>
      </c>
      <c r="AW37" s="8">
        <f t="shared" si="8"/>
        <v>5048347</v>
      </c>
      <c r="AX37" s="11"/>
      <c r="AY37" s="16"/>
      <c r="AZ37" s="8">
        <f t="shared" si="9"/>
        <v>0</v>
      </c>
      <c r="BA37" s="905">
        <f t="shared" si="9"/>
        <v>5048347</v>
      </c>
    </row>
    <row r="38" spans="1:53" ht="14.25">
      <c r="A38" s="570" t="s">
        <v>104</v>
      </c>
      <c r="B38" s="39"/>
      <c r="C38" s="168"/>
      <c r="D38" s="11"/>
      <c r="E38" s="662"/>
      <c r="F38" s="11"/>
      <c r="G38" s="662"/>
      <c r="H38" s="11"/>
      <c r="I38" s="502">
        <v>216851</v>
      </c>
      <c r="J38" s="11"/>
      <c r="K38" s="502"/>
      <c r="L38" s="11"/>
      <c r="M38" s="662"/>
      <c r="N38" s="11"/>
      <c r="O38" s="502"/>
      <c r="P38" s="11"/>
      <c r="Q38" s="502"/>
      <c r="R38" s="11"/>
      <c r="S38" s="662"/>
      <c r="T38" s="11"/>
      <c r="U38" s="662"/>
      <c r="V38" s="11"/>
      <c r="W38" s="502"/>
      <c r="X38" s="11"/>
      <c r="Y38" s="684">
        <v>693581</v>
      </c>
      <c r="Z38" s="170"/>
      <c r="AA38" s="682">
        <v>-164442</v>
      </c>
      <c r="AB38" s="11"/>
      <c r="AC38" s="502">
        <v>-23124</v>
      </c>
      <c r="AD38" s="11"/>
      <c r="AE38" s="662"/>
      <c r="AF38" s="11"/>
      <c r="AG38" s="502">
        <v>690231</v>
      </c>
      <c r="AH38" s="11"/>
      <c r="AI38" s="662"/>
      <c r="AJ38" s="11"/>
      <c r="AK38" s="662"/>
      <c r="AL38" s="675"/>
      <c r="AM38" s="662"/>
      <c r="AN38" s="910"/>
      <c r="AO38" s="907"/>
      <c r="AP38" s="11"/>
      <c r="AQ38" s="662">
        <v>11799</v>
      </c>
      <c r="AR38" s="170"/>
      <c r="AS38" s="502">
        <v>6654</v>
      </c>
      <c r="AT38" s="11"/>
      <c r="AU38" s="662"/>
      <c r="AV38" s="8">
        <f t="shared" si="8"/>
        <v>0</v>
      </c>
      <c r="AW38" s="8">
        <f t="shared" si="8"/>
        <v>1431550</v>
      </c>
      <c r="AX38" s="11"/>
      <c r="AY38" s="16"/>
      <c r="AZ38" s="8">
        <f t="shared" si="9"/>
        <v>0</v>
      </c>
      <c r="BA38" s="905">
        <f t="shared" si="9"/>
        <v>1431550</v>
      </c>
    </row>
    <row r="39" spans="1:53" ht="28.5">
      <c r="A39" s="570" t="s">
        <v>105</v>
      </c>
      <c r="B39" s="8"/>
      <c r="C39" s="692"/>
      <c r="D39" s="18"/>
      <c r="E39" s="662"/>
      <c r="F39" s="18"/>
      <c r="G39" s="662"/>
      <c r="H39" s="18"/>
      <c r="I39" s="502"/>
      <c r="J39" s="18">
        <v>674</v>
      </c>
      <c r="K39" s="502">
        <v>525</v>
      </c>
      <c r="L39" s="18"/>
      <c r="M39" s="662"/>
      <c r="N39" s="18"/>
      <c r="O39" s="502"/>
      <c r="P39" s="18"/>
      <c r="Q39" s="502"/>
      <c r="R39" s="18"/>
      <c r="S39" s="662"/>
      <c r="T39" s="18"/>
      <c r="U39" s="662"/>
      <c r="V39" s="18"/>
      <c r="W39" s="502"/>
      <c r="X39" s="18"/>
      <c r="Y39" s="684"/>
      <c r="Z39" s="40"/>
      <c r="AA39" s="682"/>
      <c r="AB39" s="18"/>
      <c r="AC39" s="502"/>
      <c r="AD39" s="680"/>
      <c r="AE39" s="662"/>
      <c r="AF39" s="18"/>
      <c r="AG39" s="502"/>
      <c r="AH39" s="18"/>
      <c r="AI39" s="678"/>
      <c r="AJ39" s="18"/>
      <c r="AK39" s="662"/>
      <c r="AL39" s="675"/>
      <c r="AM39" s="662"/>
      <c r="AN39" s="910"/>
      <c r="AO39" s="907"/>
      <c r="AP39" s="11"/>
      <c r="AQ39" s="662"/>
      <c r="AR39" s="170"/>
      <c r="AS39" s="502"/>
      <c r="AT39" s="18"/>
      <c r="AU39" s="662"/>
      <c r="AV39" s="8">
        <f t="shared" si="8"/>
        <v>674</v>
      </c>
      <c r="AW39" s="8">
        <f t="shared" si="8"/>
        <v>525</v>
      </c>
      <c r="AX39" s="18">
        <v>70809</v>
      </c>
      <c r="AY39" s="16">
        <v>207312</v>
      </c>
      <c r="AZ39" s="8">
        <f t="shared" si="9"/>
        <v>71483</v>
      </c>
      <c r="BA39" s="905">
        <f t="shared" si="9"/>
        <v>207837</v>
      </c>
    </row>
    <row r="40" spans="1:53" ht="28.5">
      <c r="A40" s="573" t="s">
        <v>207</v>
      </c>
      <c r="B40" s="8"/>
      <c r="C40" s="692"/>
      <c r="D40" s="482"/>
      <c r="E40" s="662"/>
      <c r="F40" s="482"/>
      <c r="G40" s="662"/>
      <c r="H40" s="482"/>
      <c r="I40" s="502"/>
      <c r="J40" s="482"/>
      <c r="K40" s="502"/>
      <c r="L40" s="482"/>
      <c r="M40" s="662"/>
      <c r="N40" s="482"/>
      <c r="O40" s="502"/>
      <c r="P40" s="482"/>
      <c r="Q40" s="502"/>
      <c r="R40" s="482"/>
      <c r="S40" s="662"/>
      <c r="T40" s="482"/>
      <c r="U40" s="662"/>
      <c r="V40" s="482"/>
      <c r="W40" s="502"/>
      <c r="X40" s="482"/>
      <c r="Y40" s="684"/>
      <c r="Z40" s="687"/>
      <c r="AA40" s="682"/>
      <c r="AB40" s="482"/>
      <c r="AC40" s="502"/>
      <c r="AD40" s="681"/>
      <c r="AE40" s="662"/>
      <c r="AF40" s="482"/>
      <c r="AG40" s="502"/>
      <c r="AH40" s="482"/>
      <c r="AI40" s="679"/>
      <c r="AJ40" s="482"/>
      <c r="AK40" s="662"/>
      <c r="AL40" s="676"/>
      <c r="AM40" s="662"/>
      <c r="AN40" s="912"/>
      <c r="AO40" s="907"/>
      <c r="AP40" s="913"/>
      <c r="AQ40" s="662"/>
      <c r="AR40" s="464"/>
      <c r="AS40" s="502"/>
      <c r="AT40" s="482"/>
      <c r="AU40" s="662"/>
      <c r="AV40" s="477"/>
      <c r="AW40" s="477"/>
      <c r="AX40" s="482"/>
      <c r="AY40" s="16"/>
      <c r="AZ40" s="477"/>
      <c r="BA40" s="478"/>
    </row>
    <row r="41" spans="1:53" s="607" customFormat="1" ht="27.75" thickBot="1">
      <c r="A41" s="604" t="s">
        <v>106</v>
      </c>
      <c r="B41" s="914">
        <f aca="true" t="shared" si="10" ref="B41:G41">B33+B35</f>
        <v>613811</v>
      </c>
      <c r="C41" s="915">
        <f t="shared" si="10"/>
        <v>-307677</v>
      </c>
      <c r="D41" s="605">
        <f t="shared" si="10"/>
        <v>-7053187</v>
      </c>
      <c r="E41" s="663">
        <f>D41</f>
        <v>-7053187</v>
      </c>
      <c r="F41" s="605">
        <f t="shared" si="10"/>
        <v>0</v>
      </c>
      <c r="G41" s="605">
        <f t="shared" si="10"/>
        <v>-12877852</v>
      </c>
      <c r="H41" s="916">
        <v>90080922</v>
      </c>
      <c r="I41" s="916">
        <v>86239893</v>
      </c>
      <c r="J41" s="605">
        <f>J33+J35+J39</f>
        <v>-28303343</v>
      </c>
      <c r="K41" s="605">
        <f>K33+K35+K39</f>
        <v>-26014117</v>
      </c>
      <c r="L41" s="605">
        <f aca="true" t="shared" si="11" ref="L41:W41">L33+L35</f>
        <v>-33781</v>
      </c>
      <c r="M41" s="605">
        <f t="shared" si="11"/>
        <v>250997</v>
      </c>
      <c r="N41" s="605">
        <f t="shared" si="11"/>
        <v>-2102230</v>
      </c>
      <c r="O41" s="666">
        <f t="shared" si="11"/>
        <v>-3047632</v>
      </c>
      <c r="P41" s="605">
        <f t="shared" si="11"/>
        <v>-15802229</v>
      </c>
      <c r="Q41" s="605">
        <f t="shared" si="11"/>
        <v>-13105300</v>
      </c>
      <c r="R41" s="605">
        <f t="shared" si="11"/>
        <v>-7279102</v>
      </c>
      <c r="S41" s="605">
        <f t="shared" si="11"/>
        <v>-8448176</v>
      </c>
      <c r="T41" s="605">
        <f t="shared" si="11"/>
        <v>-18633279</v>
      </c>
      <c r="U41" s="605">
        <f t="shared" si="11"/>
        <v>-17210063</v>
      </c>
      <c r="V41" s="916">
        <f t="shared" si="11"/>
        <v>56114722</v>
      </c>
      <c r="W41" s="916">
        <f t="shared" si="11"/>
        <v>42575728</v>
      </c>
      <c r="X41" s="916">
        <v>35381090</v>
      </c>
      <c r="Y41" s="916">
        <v>24657378</v>
      </c>
      <c r="Z41" s="916">
        <f>Z33+Z35</f>
        <v>1436336</v>
      </c>
      <c r="AA41" s="916">
        <f>SUM(AA33:AA40)</f>
        <v>453200</v>
      </c>
      <c r="AB41" s="917">
        <v>-2441910</v>
      </c>
      <c r="AC41" s="917">
        <v>-2163734.7</v>
      </c>
      <c r="AD41" s="916">
        <f aca="true" t="shared" si="12" ref="AD41:AK41">AD33+AD35</f>
        <v>29349740</v>
      </c>
      <c r="AE41" s="916">
        <f t="shared" si="12"/>
        <v>22936117</v>
      </c>
      <c r="AF41" s="916">
        <v>9356355</v>
      </c>
      <c r="AG41" s="916">
        <v>6572003</v>
      </c>
      <c r="AH41" s="916">
        <v>-6564836</v>
      </c>
      <c r="AI41" s="916">
        <v>-7503234</v>
      </c>
      <c r="AJ41" s="916">
        <f t="shared" si="12"/>
        <v>-1920346</v>
      </c>
      <c r="AK41" s="916">
        <f t="shared" si="12"/>
        <v>-2069865</v>
      </c>
      <c r="AL41" s="605">
        <f>AL33+AL35</f>
        <v>0</v>
      </c>
      <c r="AM41" s="918">
        <f>AM33+AM35</f>
        <v>0</v>
      </c>
      <c r="AN41" s="916">
        <f>AN33+AN35</f>
        <v>88057997</v>
      </c>
      <c r="AO41" s="916">
        <f>AO33+AO35</f>
        <v>73516656</v>
      </c>
      <c r="AP41" s="919">
        <v>4889511</v>
      </c>
      <c r="AQ41" s="909">
        <v>4467383</v>
      </c>
      <c r="AR41" s="916">
        <v>1077702</v>
      </c>
      <c r="AS41" s="666">
        <v>1016686</v>
      </c>
      <c r="AT41" s="605">
        <v>489074</v>
      </c>
      <c r="AU41" s="663">
        <v>60211</v>
      </c>
      <c r="AV41" s="605">
        <f>SUM(B41+D41+F41+H41+J41+L41+N41+P41+R41+T41+V41+X41+Z41+AB41+AD41+AF41+AH41+AJ41+AL41+AN41+AP41+AR41+AT41)</f>
        <v>226713017</v>
      </c>
      <c r="AW41" s="605">
        <f>SUM(C41+E41+G41+I41+K41+M41+O41+Q41+S41+U41+W41+Y41+AA41+AC41+AE41+AG41+AI41+AK41+AM41+AO41+AQ41+AS41+AU41)</f>
        <v>162945414.3</v>
      </c>
      <c r="AX41" s="605">
        <v>0</v>
      </c>
      <c r="AY41" s="606">
        <f>AX41</f>
        <v>0</v>
      </c>
      <c r="AZ41" s="605">
        <f>AZ33+AZ35</f>
        <v>226783152</v>
      </c>
      <c r="BA41" s="920">
        <f>BA33+BA35</f>
        <v>174709364</v>
      </c>
    </row>
    <row r="42" spans="1:53" s="38" customFormat="1" ht="28.5">
      <c r="A42" s="240" t="s">
        <v>107</v>
      </c>
      <c r="B42" s="574"/>
      <c r="C42" s="574"/>
      <c r="D42" s="242"/>
      <c r="E42" s="664"/>
      <c r="F42" s="242"/>
      <c r="G42" s="686"/>
      <c r="H42" s="242"/>
      <c r="I42" s="664"/>
      <c r="J42" s="242"/>
      <c r="K42" s="664"/>
      <c r="L42" s="242"/>
      <c r="M42" s="664"/>
      <c r="N42" s="242"/>
      <c r="O42" s="664"/>
      <c r="P42" s="691"/>
      <c r="Q42" s="241"/>
      <c r="R42" s="242"/>
      <c r="S42" s="664"/>
      <c r="T42" s="242"/>
      <c r="U42" s="664"/>
      <c r="V42" s="242"/>
      <c r="W42" s="664"/>
      <c r="X42" s="242"/>
      <c r="Y42" s="686"/>
      <c r="Z42" s="688"/>
      <c r="AA42" s="683"/>
      <c r="AB42" s="242"/>
      <c r="AC42" s="664"/>
      <c r="AD42" s="242"/>
      <c r="AE42" s="664"/>
      <c r="AF42" s="242"/>
      <c r="AG42" s="664"/>
      <c r="AH42" s="242"/>
      <c r="AI42" s="664"/>
      <c r="AJ42" s="242"/>
      <c r="AK42" s="664"/>
      <c r="AL42" s="248"/>
      <c r="AM42" s="664"/>
      <c r="AN42" s="921"/>
      <c r="AO42" s="922"/>
      <c r="AP42" s="242"/>
      <c r="AQ42" s="664"/>
      <c r="AR42" s="670"/>
      <c r="AS42" s="667"/>
      <c r="AT42" s="242"/>
      <c r="AU42" s="664"/>
      <c r="AV42" s="225"/>
      <c r="AW42" s="226"/>
      <c r="AX42" s="242"/>
      <c r="AY42" s="227"/>
      <c r="AZ42" s="225"/>
      <c r="BA42" s="228"/>
    </row>
    <row r="43" spans="1:53" ht="14.25">
      <c r="A43" s="223" t="s">
        <v>340</v>
      </c>
      <c r="B43" s="39"/>
      <c r="C43" s="169"/>
      <c r="D43" s="11"/>
      <c r="E43" s="662"/>
      <c r="F43" s="11"/>
      <c r="G43" s="662"/>
      <c r="H43" s="11"/>
      <c r="I43" s="662"/>
      <c r="J43" s="11"/>
      <c r="K43" s="662"/>
      <c r="L43" s="11"/>
      <c r="M43" s="662"/>
      <c r="N43" s="11"/>
      <c r="O43" s="662"/>
      <c r="P43" s="11"/>
      <c r="Q43" s="662"/>
      <c r="R43" s="11"/>
      <c r="S43" s="662"/>
      <c r="T43" s="11"/>
      <c r="U43" s="662"/>
      <c r="V43" s="11">
        <v>10</v>
      </c>
      <c r="W43" s="662">
        <v>10</v>
      </c>
      <c r="X43" s="11">
        <v>10</v>
      </c>
      <c r="Y43" s="662">
        <v>10</v>
      </c>
      <c r="Z43" s="40"/>
      <c r="AA43" s="682"/>
      <c r="AB43" s="11">
        <v>10</v>
      </c>
      <c r="AC43" s="662">
        <v>10</v>
      </c>
      <c r="AD43" s="11">
        <v>10</v>
      </c>
      <c r="AE43" s="662">
        <v>10</v>
      </c>
      <c r="AF43" s="11"/>
      <c r="AG43" s="662"/>
      <c r="AH43" s="11"/>
      <c r="AI43" s="662"/>
      <c r="AJ43" s="11"/>
      <c r="AK43" s="662"/>
      <c r="AL43" s="675"/>
      <c r="AM43" s="662"/>
      <c r="AN43" s="675">
        <v>10</v>
      </c>
      <c r="AO43" s="923">
        <v>10</v>
      </c>
      <c r="AP43" s="11"/>
      <c r="AQ43" s="662"/>
      <c r="AR43" s="238">
        <v>10</v>
      </c>
      <c r="AS43" s="21">
        <v>10</v>
      </c>
      <c r="AT43" s="11"/>
      <c r="AU43" s="662"/>
      <c r="AV43" s="18"/>
      <c r="AW43" s="17"/>
      <c r="AX43" s="11"/>
      <c r="AY43" s="10"/>
      <c r="AZ43" s="18"/>
      <c r="BA43" s="14"/>
    </row>
    <row r="44" spans="1:53" ht="14.25">
      <c r="A44" s="223" t="s">
        <v>108</v>
      </c>
      <c r="B44" s="239">
        <v>0.37</v>
      </c>
      <c r="C44" s="173">
        <v>0.43</v>
      </c>
      <c r="D44" s="11"/>
      <c r="E44" s="662"/>
      <c r="F44" s="11"/>
      <c r="G44" s="171">
        <v>0.05</v>
      </c>
      <c r="H44" s="11"/>
      <c r="I44" s="662"/>
      <c r="J44" s="1">
        <v>0.42</v>
      </c>
      <c r="K44" s="171">
        <v>0.42</v>
      </c>
      <c r="L44" s="11"/>
      <c r="M44" s="662"/>
      <c r="N44" s="1">
        <v>2.33</v>
      </c>
      <c r="O44" s="171">
        <v>-3.79</v>
      </c>
      <c r="P44" s="1">
        <v>-5.98</v>
      </c>
      <c r="Q44" s="171">
        <v>-6.47</v>
      </c>
      <c r="R44" s="11"/>
      <c r="S44" s="662"/>
      <c r="T44" s="11"/>
      <c r="U44" s="662"/>
      <c r="V44" s="11">
        <v>5.16</v>
      </c>
      <c r="W44" s="662">
        <v>4.87</v>
      </c>
      <c r="X44" s="1">
        <v>6.22</v>
      </c>
      <c r="Y44" s="171">
        <v>6.19</v>
      </c>
      <c r="Z44" s="172">
        <v>0.31</v>
      </c>
      <c r="AA44" s="929">
        <v>0.36</v>
      </c>
      <c r="AB44" s="1">
        <v>0.68</v>
      </c>
      <c r="AC44" s="171">
        <v>-1.61</v>
      </c>
      <c r="AD44" s="1">
        <v>2.82</v>
      </c>
      <c r="AE44" s="171">
        <v>2.17</v>
      </c>
      <c r="AF44" s="11"/>
      <c r="AG44" s="662"/>
      <c r="AH44" s="11"/>
      <c r="AI44" s="662"/>
      <c r="AJ44" s="11"/>
      <c r="AK44" s="662"/>
      <c r="AL44" s="675"/>
      <c r="AM44" s="662"/>
      <c r="AN44" s="924">
        <v>9.23</v>
      </c>
      <c r="AO44" s="925">
        <v>8.92</v>
      </c>
      <c r="AP44" s="11"/>
      <c r="AQ44" s="662"/>
      <c r="AR44" s="229">
        <v>-0.78</v>
      </c>
      <c r="AS44" s="668">
        <v>1.27</v>
      </c>
      <c r="AT44" s="11"/>
      <c r="AU44" s="662"/>
      <c r="AV44" s="18"/>
      <c r="AW44" s="17"/>
      <c r="AX44" s="11"/>
      <c r="AY44" s="10"/>
      <c r="AZ44" s="18"/>
      <c r="BA44" s="14"/>
    </row>
    <row r="45" spans="1:53" ht="15" thickBot="1">
      <c r="A45" s="224" t="s">
        <v>109</v>
      </c>
      <c r="B45" s="810">
        <v>0.37</v>
      </c>
      <c r="C45" s="811">
        <v>0.43</v>
      </c>
      <c r="D45" s="42"/>
      <c r="E45" s="665"/>
      <c r="F45" s="42"/>
      <c r="G45" s="665"/>
      <c r="H45" s="42"/>
      <c r="I45" s="665"/>
      <c r="J45" s="690">
        <v>0.42</v>
      </c>
      <c r="K45" s="689">
        <v>0.42</v>
      </c>
      <c r="L45" s="42"/>
      <c r="M45" s="665"/>
      <c r="N45" s="690">
        <v>2.33</v>
      </c>
      <c r="O45" s="689">
        <v>-3.79</v>
      </c>
      <c r="P45" s="690">
        <v>-5.98</v>
      </c>
      <c r="Q45" s="689">
        <v>-6.47</v>
      </c>
      <c r="R45" s="42"/>
      <c r="S45" s="665"/>
      <c r="T45" s="42"/>
      <c r="U45" s="665"/>
      <c r="V45" s="1">
        <v>5.16</v>
      </c>
      <c r="W45" s="171">
        <v>4.87</v>
      </c>
      <c r="X45" s="690">
        <v>6.22</v>
      </c>
      <c r="Y45" s="689">
        <v>6.18</v>
      </c>
      <c r="Z45" s="930">
        <v>0.31</v>
      </c>
      <c r="AA45" s="931">
        <v>0.36</v>
      </c>
      <c r="AB45" s="690">
        <v>0.68</v>
      </c>
      <c r="AC45" s="689">
        <v>-1.61</v>
      </c>
      <c r="AD45" s="932">
        <v>2.82</v>
      </c>
      <c r="AE45" s="933">
        <v>2.17</v>
      </c>
      <c r="AF45" s="42"/>
      <c r="AG45" s="665"/>
      <c r="AH45" s="42"/>
      <c r="AI45" s="665"/>
      <c r="AJ45" s="42"/>
      <c r="AK45" s="665"/>
      <c r="AL45" s="677"/>
      <c r="AM45" s="674"/>
      <c r="AN45" s="926">
        <v>9.23</v>
      </c>
      <c r="AO45" s="927">
        <v>8.91</v>
      </c>
      <c r="AP45" s="928"/>
      <c r="AQ45" s="674"/>
      <c r="AR45" s="230">
        <v>-0.78</v>
      </c>
      <c r="AS45" s="669">
        <v>1.27</v>
      </c>
      <c r="AT45" s="42"/>
      <c r="AU45" s="665"/>
      <c r="AV45" s="42"/>
      <c r="AW45" s="41"/>
      <c r="AX45" s="42"/>
      <c r="AY45" s="41"/>
      <c r="AZ45" s="42"/>
      <c r="BA45" s="176"/>
    </row>
  </sheetData>
  <sheetProtection/>
  <mergeCells count="29">
    <mergeCell ref="AJ3:AK3"/>
    <mergeCell ref="T3:U3"/>
    <mergeCell ref="X3:Y3"/>
    <mergeCell ref="P3:Q3"/>
    <mergeCell ref="R3:S3"/>
    <mergeCell ref="AB3:AC3"/>
    <mergeCell ref="AD3:AE3"/>
    <mergeCell ref="AF3:AG3"/>
    <mergeCell ref="AH3:AI3"/>
    <mergeCell ref="A1:AZ1"/>
    <mergeCell ref="A2:AZ2"/>
    <mergeCell ref="A3:A4"/>
    <mergeCell ref="B3:C3"/>
    <mergeCell ref="D3:E3"/>
    <mergeCell ref="F3:G3"/>
    <mergeCell ref="J3:K3"/>
    <mergeCell ref="AX3:AY3"/>
    <mergeCell ref="L3:M3"/>
    <mergeCell ref="AL3:AM3"/>
    <mergeCell ref="N3:O3"/>
    <mergeCell ref="AZ3:BA3"/>
    <mergeCell ref="H3:I3"/>
    <mergeCell ref="AN3:AO3"/>
    <mergeCell ref="AP3:AQ3"/>
    <mergeCell ref="AR3:AS3"/>
    <mergeCell ref="AT3:AU3"/>
    <mergeCell ref="AV3:AW3"/>
    <mergeCell ref="V3:W3"/>
    <mergeCell ref="Z3:AA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A6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5" sqref="G5"/>
    </sheetView>
  </sheetViews>
  <sheetFormatPr defaultColWidth="9.140625" defaultRowHeight="15"/>
  <cols>
    <col min="1" max="1" width="25.28125" style="316" customWidth="1"/>
    <col min="2" max="2" width="11.8515625" style="316" customWidth="1"/>
    <col min="3" max="3" width="11.7109375" style="316" customWidth="1"/>
    <col min="4" max="4" width="11.140625" style="316" customWidth="1"/>
    <col min="5" max="5" width="11.28125" style="316" customWidth="1"/>
    <col min="6" max="8" width="11.140625" style="316" customWidth="1"/>
    <col min="9" max="9" width="11.28125" style="316" customWidth="1"/>
    <col min="10" max="10" width="11.00390625" style="316" customWidth="1"/>
    <col min="11" max="11" width="11.7109375" style="316" customWidth="1"/>
    <col min="12" max="12" width="11.28125" style="316" customWidth="1"/>
    <col min="13" max="13" width="11.421875" style="316" customWidth="1"/>
    <col min="14" max="14" width="11.57421875" style="316" customWidth="1"/>
    <col min="15" max="15" width="11.140625" style="316" customWidth="1"/>
    <col min="16" max="16" width="11.28125" style="316" customWidth="1"/>
    <col min="17" max="17" width="11.421875" style="316" customWidth="1"/>
    <col min="18" max="19" width="11.28125" style="316" customWidth="1"/>
    <col min="20" max="20" width="11.7109375" style="316" customWidth="1"/>
    <col min="21" max="21" width="11.00390625" style="316" customWidth="1"/>
    <col min="22" max="24" width="11.28125" style="316" customWidth="1"/>
    <col min="25" max="25" width="11.421875" style="316" customWidth="1"/>
    <col min="26" max="26" width="11.00390625" style="316" customWidth="1"/>
    <col min="27" max="27" width="12.7109375" style="316" customWidth="1"/>
    <col min="28" max="28" width="10.57421875" style="316" customWidth="1"/>
    <col min="29" max="29" width="12.57421875" style="316" customWidth="1"/>
    <col min="30" max="30" width="10.140625" style="316" customWidth="1"/>
    <col min="31" max="33" width="11.00390625" style="316" customWidth="1"/>
    <col min="34" max="34" width="12.00390625" style="316" customWidth="1"/>
    <col min="35" max="36" width="11.7109375" style="316" customWidth="1"/>
    <col min="37" max="37" width="11.140625" style="316" customWidth="1"/>
    <col min="38" max="38" width="11.8515625" style="316" customWidth="1"/>
    <col min="39" max="39" width="10.421875" style="316" customWidth="1"/>
    <col min="40" max="40" width="11.00390625" style="316" customWidth="1"/>
    <col min="41" max="41" width="11.28125" style="316" customWidth="1"/>
    <col min="42" max="42" width="11.00390625" style="316" customWidth="1"/>
    <col min="43" max="43" width="11.140625" style="316" customWidth="1"/>
    <col min="44" max="44" width="11.57421875" style="316" customWidth="1"/>
    <col min="45" max="45" width="12.140625" style="316" customWidth="1"/>
    <col min="46" max="46" width="9.00390625" style="316" customWidth="1"/>
    <col min="47" max="47" width="11.421875" style="316" customWidth="1"/>
    <col min="48" max="48" width="11.140625" style="316" customWidth="1"/>
    <col min="49" max="49" width="12.7109375" style="316" customWidth="1"/>
    <col min="50" max="50" width="13.140625" style="316" customWidth="1"/>
    <col min="51" max="51" width="11.57421875" style="316" customWidth="1"/>
    <col min="52" max="52" width="11.28125" style="316" customWidth="1"/>
    <col min="53" max="53" width="11.421875" style="316" customWidth="1"/>
    <col min="54" max="16384" width="9.140625" style="316" customWidth="1"/>
  </cols>
  <sheetData>
    <row r="1" spans="1:53" ht="65.25" customHeight="1" thickBot="1">
      <c r="A1" s="61" t="s">
        <v>272</v>
      </c>
      <c r="B1" s="975" t="s">
        <v>116</v>
      </c>
      <c r="C1" s="976"/>
      <c r="D1" s="977" t="s">
        <v>273</v>
      </c>
      <c r="E1" s="978"/>
      <c r="F1" s="979" t="s">
        <v>118</v>
      </c>
      <c r="G1" s="978"/>
      <c r="H1" s="979" t="s">
        <v>119</v>
      </c>
      <c r="I1" s="978"/>
      <c r="J1" s="979" t="s">
        <v>274</v>
      </c>
      <c r="K1" s="978"/>
      <c r="L1" s="977" t="s">
        <v>121</v>
      </c>
      <c r="M1" s="978"/>
      <c r="N1" s="977" t="s">
        <v>226</v>
      </c>
      <c r="O1" s="978"/>
      <c r="P1" s="979" t="s">
        <v>138</v>
      </c>
      <c r="Q1" s="979"/>
      <c r="R1" s="977" t="s">
        <v>275</v>
      </c>
      <c r="S1" s="978"/>
      <c r="T1" s="977" t="s">
        <v>276</v>
      </c>
      <c r="U1" s="978"/>
      <c r="V1" s="979" t="s">
        <v>277</v>
      </c>
      <c r="W1" s="978"/>
      <c r="X1" s="979" t="s">
        <v>278</v>
      </c>
      <c r="Y1" s="978"/>
      <c r="Z1" s="979" t="s">
        <v>338</v>
      </c>
      <c r="AA1" s="979"/>
      <c r="AB1" s="977" t="s">
        <v>127</v>
      </c>
      <c r="AC1" s="978"/>
      <c r="AD1" s="977" t="s">
        <v>128</v>
      </c>
      <c r="AE1" s="978"/>
      <c r="AF1" s="977" t="s">
        <v>129</v>
      </c>
      <c r="AG1" s="978"/>
      <c r="AH1" s="977" t="s">
        <v>212</v>
      </c>
      <c r="AI1" s="978"/>
      <c r="AJ1" s="977" t="s">
        <v>131</v>
      </c>
      <c r="AK1" s="978"/>
      <c r="AL1" s="979" t="s">
        <v>132</v>
      </c>
      <c r="AM1" s="979"/>
      <c r="AN1" s="977" t="s">
        <v>133</v>
      </c>
      <c r="AO1" s="978"/>
      <c r="AP1" s="977" t="s">
        <v>134</v>
      </c>
      <c r="AQ1" s="978"/>
      <c r="AR1" s="979" t="s">
        <v>279</v>
      </c>
      <c r="AS1" s="979"/>
      <c r="AT1" s="977" t="s">
        <v>136</v>
      </c>
      <c r="AU1" s="978"/>
      <c r="AV1" s="980" t="s">
        <v>1</v>
      </c>
      <c r="AW1" s="981"/>
      <c r="AX1" s="977" t="s">
        <v>137</v>
      </c>
      <c r="AY1" s="978"/>
      <c r="AZ1" s="980" t="s">
        <v>2</v>
      </c>
      <c r="BA1" s="981"/>
    </row>
    <row r="2" spans="1:53" s="719" customFormat="1" ht="69" customHeight="1" thickBot="1">
      <c r="A2" s="876" t="s">
        <v>0</v>
      </c>
      <c r="B2" s="877" t="s">
        <v>336</v>
      </c>
      <c r="C2" s="878" t="s">
        <v>337</v>
      </c>
      <c r="D2" s="877" t="s">
        <v>336</v>
      </c>
      <c r="E2" s="878" t="s">
        <v>337</v>
      </c>
      <c r="F2" s="877" t="s">
        <v>336</v>
      </c>
      <c r="G2" s="878" t="s">
        <v>337</v>
      </c>
      <c r="H2" s="877" t="s">
        <v>336</v>
      </c>
      <c r="I2" s="878" t="s">
        <v>337</v>
      </c>
      <c r="J2" s="877" t="s">
        <v>336</v>
      </c>
      <c r="K2" s="878" t="s">
        <v>337</v>
      </c>
      <c r="L2" s="877" t="s">
        <v>336</v>
      </c>
      <c r="M2" s="878" t="s">
        <v>337</v>
      </c>
      <c r="N2" s="877" t="s">
        <v>336</v>
      </c>
      <c r="O2" s="878" t="s">
        <v>337</v>
      </c>
      <c r="P2" s="877" t="s">
        <v>336</v>
      </c>
      <c r="Q2" s="878" t="s">
        <v>337</v>
      </c>
      <c r="R2" s="877" t="s">
        <v>336</v>
      </c>
      <c r="S2" s="878" t="s">
        <v>337</v>
      </c>
      <c r="T2" s="877" t="s">
        <v>336</v>
      </c>
      <c r="U2" s="878" t="s">
        <v>337</v>
      </c>
      <c r="V2" s="877" t="s">
        <v>336</v>
      </c>
      <c r="W2" s="878" t="s">
        <v>337</v>
      </c>
      <c r="X2" s="877" t="s">
        <v>336</v>
      </c>
      <c r="Y2" s="878" t="s">
        <v>337</v>
      </c>
      <c r="Z2" s="877" t="s">
        <v>336</v>
      </c>
      <c r="AA2" s="878" t="s">
        <v>337</v>
      </c>
      <c r="AB2" s="877" t="s">
        <v>336</v>
      </c>
      <c r="AC2" s="878" t="s">
        <v>337</v>
      </c>
      <c r="AD2" s="877" t="s">
        <v>336</v>
      </c>
      <c r="AE2" s="878" t="s">
        <v>337</v>
      </c>
      <c r="AF2" s="877" t="s">
        <v>336</v>
      </c>
      <c r="AG2" s="878" t="s">
        <v>337</v>
      </c>
      <c r="AH2" s="877" t="s">
        <v>336</v>
      </c>
      <c r="AI2" s="878" t="s">
        <v>337</v>
      </c>
      <c r="AJ2" s="877" t="s">
        <v>336</v>
      </c>
      <c r="AK2" s="878" t="s">
        <v>337</v>
      </c>
      <c r="AL2" s="877" t="s">
        <v>336</v>
      </c>
      <c r="AM2" s="878" t="s">
        <v>337</v>
      </c>
      <c r="AN2" s="877" t="s">
        <v>336</v>
      </c>
      <c r="AO2" s="878" t="s">
        <v>337</v>
      </c>
      <c r="AP2" s="877" t="s">
        <v>336</v>
      </c>
      <c r="AQ2" s="878" t="s">
        <v>337</v>
      </c>
      <c r="AR2" s="877" t="s">
        <v>336</v>
      </c>
      <c r="AS2" s="878" t="s">
        <v>337</v>
      </c>
      <c r="AT2" s="877" t="s">
        <v>336</v>
      </c>
      <c r="AU2" s="878" t="s">
        <v>337</v>
      </c>
      <c r="AV2" s="877" t="s">
        <v>336</v>
      </c>
      <c r="AW2" s="878" t="s">
        <v>337</v>
      </c>
      <c r="AX2" s="877" t="s">
        <v>336</v>
      </c>
      <c r="AY2" s="878" t="s">
        <v>337</v>
      </c>
      <c r="AZ2" s="877" t="s">
        <v>336</v>
      </c>
      <c r="BA2" s="878" t="s">
        <v>337</v>
      </c>
    </row>
    <row r="3" spans="1:53" ht="14.25">
      <c r="A3" s="879" t="s">
        <v>280</v>
      </c>
      <c r="B3" s="880"/>
      <c r="C3" s="881"/>
      <c r="D3" s="882"/>
      <c r="E3" s="881"/>
      <c r="F3" s="882"/>
      <c r="G3" s="881"/>
      <c r="H3" s="882"/>
      <c r="I3" s="881"/>
      <c r="J3" s="882"/>
      <c r="K3" s="881"/>
      <c r="L3" s="882"/>
      <c r="M3" s="883"/>
      <c r="N3" s="880"/>
      <c r="O3" s="883"/>
      <c r="P3" s="880"/>
      <c r="Q3" s="883"/>
      <c r="R3" s="880"/>
      <c r="S3" s="883"/>
      <c r="T3" s="880"/>
      <c r="U3" s="883"/>
      <c r="V3" s="880"/>
      <c r="W3" s="883"/>
      <c r="X3" s="880"/>
      <c r="Y3" s="881"/>
      <c r="Z3" s="882"/>
      <c r="AA3" s="881"/>
      <c r="AB3" s="882"/>
      <c r="AC3" s="883"/>
      <c r="AD3" s="880"/>
      <c r="AE3" s="881"/>
      <c r="AF3" s="882"/>
      <c r="AG3" s="881"/>
      <c r="AH3" s="882"/>
      <c r="AI3" s="883"/>
      <c r="AJ3" s="880"/>
      <c r="AK3" s="881"/>
      <c r="AL3" s="882"/>
      <c r="AM3" s="881"/>
      <c r="AN3" s="882"/>
      <c r="AO3" s="881"/>
      <c r="AP3" s="882"/>
      <c r="AQ3" s="881"/>
      <c r="AR3" s="882"/>
      <c r="AS3" s="881"/>
      <c r="AT3" s="882"/>
      <c r="AU3" s="881"/>
      <c r="AV3" s="882"/>
      <c r="AW3" s="881"/>
      <c r="AX3" s="882"/>
      <c r="AY3" s="881"/>
      <c r="AZ3" s="882"/>
      <c r="BA3" s="883"/>
    </row>
    <row r="4" spans="1:53" ht="14.25">
      <c r="A4" s="317" t="s">
        <v>281</v>
      </c>
      <c r="B4" s="884"/>
      <c r="C4" s="885"/>
      <c r="D4" s="886"/>
      <c r="E4" s="885"/>
      <c r="F4" s="886"/>
      <c r="G4" s="885"/>
      <c r="H4" s="886"/>
      <c r="I4" s="885"/>
      <c r="J4" s="886"/>
      <c r="K4" s="885"/>
      <c r="L4" s="886"/>
      <c r="M4" s="887"/>
      <c r="N4" s="884"/>
      <c r="O4" s="887"/>
      <c r="P4" s="884"/>
      <c r="Q4" s="887"/>
      <c r="R4" s="884"/>
      <c r="S4" s="887"/>
      <c r="T4" s="884"/>
      <c r="U4" s="887"/>
      <c r="V4" s="884"/>
      <c r="W4" s="887"/>
      <c r="X4" s="884"/>
      <c r="Y4" s="885"/>
      <c r="Z4" s="886"/>
      <c r="AA4" s="885"/>
      <c r="AB4" s="886"/>
      <c r="AC4" s="887"/>
      <c r="AD4" s="884"/>
      <c r="AE4" s="885"/>
      <c r="AF4" s="886"/>
      <c r="AG4" s="885"/>
      <c r="AH4" s="886"/>
      <c r="AI4" s="887"/>
      <c r="AJ4" s="884"/>
      <c r="AK4" s="885"/>
      <c r="AL4" s="886"/>
      <c r="AM4" s="885"/>
      <c r="AN4" s="886"/>
      <c r="AO4" s="885"/>
      <c r="AP4" s="886"/>
      <c r="AQ4" s="885"/>
      <c r="AR4" s="886"/>
      <c r="AS4" s="885"/>
      <c r="AT4" s="886"/>
      <c r="AU4" s="885"/>
      <c r="AV4" s="886"/>
      <c r="AW4" s="885"/>
      <c r="AX4" s="886"/>
      <c r="AY4" s="885"/>
      <c r="AZ4" s="886"/>
      <c r="BA4" s="887"/>
    </row>
    <row r="5" spans="1:53" ht="14.25">
      <c r="A5" s="317" t="s">
        <v>282</v>
      </c>
      <c r="B5" s="888">
        <v>19012080</v>
      </c>
      <c r="C5" s="888">
        <v>19012080</v>
      </c>
      <c r="D5" s="886">
        <v>14643541</v>
      </c>
      <c r="E5" s="885">
        <v>14678439</v>
      </c>
      <c r="F5" s="886"/>
      <c r="G5" s="885"/>
      <c r="H5" s="886">
        <v>1507090</v>
      </c>
      <c r="I5" s="885">
        <v>1507090</v>
      </c>
      <c r="J5" s="886">
        <v>26612010</v>
      </c>
      <c r="K5" s="885">
        <v>29912010</v>
      </c>
      <c r="L5" s="886">
        <v>9500000</v>
      </c>
      <c r="M5" s="887">
        <v>9500000</v>
      </c>
      <c r="N5" s="884">
        <f>O5</f>
        <v>3740619</v>
      </c>
      <c r="O5" s="887">
        <v>3740619</v>
      </c>
      <c r="P5" s="884">
        <v>3126209</v>
      </c>
      <c r="Q5" s="887">
        <v>3126209</v>
      </c>
      <c r="R5" s="884">
        <v>18500000</v>
      </c>
      <c r="S5" s="887">
        <f>R5</f>
        <v>18500000</v>
      </c>
      <c r="T5" s="884">
        <v>19358206</v>
      </c>
      <c r="U5" s="887">
        <v>19358206</v>
      </c>
      <c r="V5" s="884">
        <v>20186068</v>
      </c>
      <c r="W5" s="887">
        <v>20204561</v>
      </c>
      <c r="X5" s="884">
        <v>14358523</v>
      </c>
      <c r="Y5" s="885">
        <v>14359032</v>
      </c>
      <c r="Z5" s="886">
        <v>8000000</v>
      </c>
      <c r="AA5" s="885">
        <f>Z5</f>
        <v>8000000</v>
      </c>
      <c r="AB5" s="886">
        <v>6350000</v>
      </c>
      <c r="AC5" s="887">
        <v>6634615</v>
      </c>
      <c r="AD5" s="884">
        <v>5102902</v>
      </c>
      <c r="AE5" s="885">
        <v>5102902</v>
      </c>
      <c r="AF5" s="886"/>
      <c r="AG5" s="885">
        <v>19188129</v>
      </c>
      <c r="AH5" s="886">
        <v>20128843</v>
      </c>
      <c r="AI5" s="887">
        <f>AH5</f>
        <v>20128843</v>
      </c>
      <c r="AJ5" s="884">
        <v>11963235</v>
      </c>
      <c r="AK5" s="885">
        <v>11963235</v>
      </c>
      <c r="AL5" s="886"/>
      <c r="AM5" s="885"/>
      <c r="AN5" s="886">
        <v>10000039</v>
      </c>
      <c r="AO5" s="885">
        <v>10000587</v>
      </c>
      <c r="AP5" s="886">
        <v>1756954</v>
      </c>
      <c r="AQ5" s="885">
        <v>1761381</v>
      </c>
      <c r="AR5" s="886">
        <v>2589641</v>
      </c>
      <c r="AS5" s="885">
        <v>2589641</v>
      </c>
      <c r="AT5" s="886">
        <v>19535000</v>
      </c>
      <c r="AU5" s="885">
        <f>AT5</f>
        <v>19535000</v>
      </c>
      <c r="AV5" s="886">
        <f aca="true" t="shared" si="0" ref="AV5:AW67">B5+D5+F5+H5+J5+L5+N5+P5+R5+T5+V5+X5+Z5+AB5+AD5+AF5+AH5+AJ5+AL5+AN5+AP5+AR5+AT5</f>
        <v>235970960</v>
      </c>
      <c r="AW5" s="885">
        <f t="shared" si="0"/>
        <v>258802579</v>
      </c>
      <c r="AX5" s="886">
        <v>1000000</v>
      </c>
      <c r="AY5" s="885">
        <v>1000000</v>
      </c>
      <c r="AZ5" s="886">
        <f>AV5+AX5</f>
        <v>236970960</v>
      </c>
      <c r="BA5" s="887">
        <f>AW5+AY5</f>
        <v>259802579</v>
      </c>
    </row>
    <row r="6" spans="1:53" ht="14.25">
      <c r="A6" s="317" t="s">
        <v>283</v>
      </c>
      <c r="B6" s="888"/>
      <c r="C6" s="888"/>
      <c r="D6" s="886"/>
      <c r="E6" s="885"/>
      <c r="F6" s="886"/>
      <c r="G6" s="885"/>
      <c r="H6" s="886"/>
      <c r="I6" s="885"/>
      <c r="J6" s="886"/>
      <c r="K6" s="885"/>
      <c r="L6" s="886"/>
      <c r="M6" s="887"/>
      <c r="N6" s="884"/>
      <c r="O6" s="887"/>
      <c r="P6" s="884"/>
      <c r="Q6" s="887"/>
      <c r="R6" s="884"/>
      <c r="S6" s="887"/>
      <c r="T6" s="884"/>
      <c r="U6" s="887"/>
      <c r="V6" s="884">
        <v>11211</v>
      </c>
      <c r="W6" s="887">
        <v>9012</v>
      </c>
      <c r="X6" s="884"/>
      <c r="Y6" s="885">
        <v>12236</v>
      </c>
      <c r="Z6" s="886"/>
      <c r="AA6" s="885"/>
      <c r="AB6" s="886"/>
      <c r="AC6" s="887"/>
      <c r="AD6" s="884"/>
      <c r="AE6" s="885"/>
      <c r="AF6" s="886"/>
      <c r="AG6" s="885"/>
      <c r="AH6" s="886"/>
      <c r="AI6" s="887"/>
      <c r="AJ6" s="884"/>
      <c r="AK6" s="885"/>
      <c r="AL6" s="886"/>
      <c r="AM6" s="885"/>
      <c r="AN6" s="886"/>
      <c r="AO6" s="885"/>
      <c r="AP6" s="886"/>
      <c r="AQ6" s="885"/>
      <c r="AR6" s="886"/>
      <c r="AS6" s="885"/>
      <c r="AT6" s="886"/>
      <c r="AU6" s="885"/>
      <c r="AV6" s="886">
        <f t="shared" si="0"/>
        <v>11211</v>
      </c>
      <c r="AW6" s="885">
        <f t="shared" si="0"/>
        <v>21248</v>
      </c>
      <c r="AX6" s="886"/>
      <c r="AY6" s="885"/>
      <c r="AZ6" s="886">
        <f aca="true" t="shared" si="1" ref="AZ6:BA67">AV6+AX6</f>
        <v>11211</v>
      </c>
      <c r="BA6" s="887">
        <f t="shared" si="1"/>
        <v>21248</v>
      </c>
    </row>
    <row r="7" spans="1:53" ht="14.25">
      <c r="A7" s="317" t="s">
        <v>284</v>
      </c>
      <c r="B7" s="888">
        <v>2781396</v>
      </c>
      <c r="C7" s="888">
        <v>3702886</v>
      </c>
      <c r="D7" s="886">
        <v>7070805</v>
      </c>
      <c r="E7" s="885">
        <v>8763705</v>
      </c>
      <c r="F7" s="886"/>
      <c r="G7" s="885"/>
      <c r="H7" s="886">
        <v>97243069</v>
      </c>
      <c r="I7" s="885">
        <v>101157001</v>
      </c>
      <c r="J7" s="886">
        <v>2121779</v>
      </c>
      <c r="K7" s="885">
        <v>2120883</v>
      </c>
      <c r="L7" s="886">
        <v>1500997</v>
      </c>
      <c r="M7" s="887">
        <v>1250000</v>
      </c>
      <c r="N7" s="884">
        <f>O7</f>
        <v>8329217</v>
      </c>
      <c r="O7" s="887">
        <v>8329217</v>
      </c>
      <c r="P7" s="884">
        <v>16848478</v>
      </c>
      <c r="Q7" s="887">
        <f>P7</f>
        <v>16848478</v>
      </c>
      <c r="R7" s="884"/>
      <c r="S7" s="887"/>
      <c r="T7" s="884"/>
      <c r="U7" s="887"/>
      <c r="V7" s="884">
        <v>46500788</v>
      </c>
      <c r="W7" s="887">
        <v>60672491</v>
      </c>
      <c r="X7" s="884">
        <v>59177796</v>
      </c>
      <c r="Y7" s="885">
        <v>69943174</v>
      </c>
      <c r="Z7" s="886">
        <v>453200</v>
      </c>
      <c r="AA7" s="885">
        <v>1436336</v>
      </c>
      <c r="AB7" s="886">
        <v>2800000</v>
      </c>
      <c r="AC7" s="887">
        <v>2800000</v>
      </c>
      <c r="AD7" s="884">
        <v>23456480</v>
      </c>
      <c r="AE7" s="885">
        <v>29870103</v>
      </c>
      <c r="AF7" s="886"/>
      <c r="AG7" s="885">
        <v>11450627</v>
      </c>
      <c r="AH7" s="886"/>
      <c r="AI7" s="887">
        <v>44182</v>
      </c>
      <c r="AJ7" s="884">
        <v>3031592</v>
      </c>
      <c r="AK7" s="885">
        <v>3031592</v>
      </c>
      <c r="AL7" s="886"/>
      <c r="AM7" s="885"/>
      <c r="AN7" s="886">
        <v>73519554</v>
      </c>
      <c r="AO7" s="885">
        <v>88093966</v>
      </c>
      <c r="AP7" s="886">
        <v>4477119</v>
      </c>
      <c r="AQ7" s="885">
        <v>4905445</v>
      </c>
      <c r="AR7" s="886">
        <v>3702742</v>
      </c>
      <c r="AS7" s="885">
        <v>3763758</v>
      </c>
      <c r="AT7" s="886">
        <v>319848</v>
      </c>
      <c r="AU7" s="885">
        <v>748711</v>
      </c>
      <c r="AV7" s="886">
        <f t="shared" si="0"/>
        <v>353334860</v>
      </c>
      <c r="AW7" s="885">
        <f t="shared" si="0"/>
        <v>418932555</v>
      </c>
      <c r="AX7" s="886">
        <v>6279084</v>
      </c>
      <c r="AY7" s="885">
        <v>6290585</v>
      </c>
      <c r="AZ7" s="886">
        <f t="shared" si="1"/>
        <v>359613944</v>
      </c>
      <c r="BA7" s="887">
        <f t="shared" si="1"/>
        <v>425223140</v>
      </c>
    </row>
    <row r="8" spans="1:53" ht="14.25">
      <c r="A8" s="317" t="s">
        <v>285</v>
      </c>
      <c r="B8" s="888">
        <v>227867</v>
      </c>
      <c r="C8" s="888">
        <v>254524</v>
      </c>
      <c r="D8" s="886"/>
      <c r="E8" s="885"/>
      <c r="F8" s="886"/>
      <c r="G8" s="885"/>
      <c r="H8" s="886">
        <v>1116630</v>
      </c>
      <c r="I8" s="885">
        <v>4438744</v>
      </c>
      <c r="J8" s="886">
        <v>635</v>
      </c>
      <c r="K8" s="885">
        <v>15924</v>
      </c>
      <c r="L8" s="886">
        <v>29014</v>
      </c>
      <c r="M8" s="887">
        <v>8310</v>
      </c>
      <c r="N8" s="884">
        <v>-248242</v>
      </c>
      <c r="O8" s="887">
        <v>-13469</v>
      </c>
      <c r="P8" s="884">
        <v>125361</v>
      </c>
      <c r="Q8" s="887">
        <v>92149</v>
      </c>
      <c r="R8" s="884">
        <v>267</v>
      </c>
      <c r="S8" s="887">
        <v>309</v>
      </c>
      <c r="T8" s="884">
        <v>41679</v>
      </c>
      <c r="U8" s="887">
        <v>-5047</v>
      </c>
      <c r="V8" s="884">
        <v>-106585</v>
      </c>
      <c r="W8" s="887">
        <v>2281369</v>
      </c>
      <c r="X8" s="884">
        <v>1590282</v>
      </c>
      <c r="Y8" s="885">
        <v>4761905</v>
      </c>
      <c r="Z8" s="886">
        <v>-18353</v>
      </c>
      <c r="AA8" s="885">
        <v>-3486</v>
      </c>
      <c r="AB8" s="886">
        <v>10095</v>
      </c>
      <c r="AC8" s="887">
        <v>15305</v>
      </c>
      <c r="AD8" s="884"/>
      <c r="AE8" s="885">
        <v>-5171</v>
      </c>
      <c r="AF8" s="886"/>
      <c r="AG8" s="885">
        <v>250693</v>
      </c>
      <c r="AH8" s="886">
        <v>-241</v>
      </c>
      <c r="AI8" s="887">
        <v>23244</v>
      </c>
      <c r="AJ8" s="884">
        <v>112199</v>
      </c>
      <c r="AK8" s="885">
        <v>70959</v>
      </c>
      <c r="AL8" s="886"/>
      <c r="AM8" s="885"/>
      <c r="AN8" s="886">
        <v>1330933</v>
      </c>
      <c r="AO8" s="885">
        <v>3237686</v>
      </c>
      <c r="AP8" s="886">
        <v>118315</v>
      </c>
      <c r="AQ8" s="885">
        <v>301104</v>
      </c>
      <c r="AR8" s="886">
        <v>3044</v>
      </c>
      <c r="AS8" s="885">
        <v>363</v>
      </c>
      <c r="AT8" s="886"/>
      <c r="AU8" s="885"/>
      <c r="AV8" s="886">
        <f t="shared" si="0"/>
        <v>4332900</v>
      </c>
      <c r="AW8" s="885">
        <f t="shared" si="0"/>
        <v>15725415</v>
      </c>
      <c r="AX8" s="886">
        <v>290503</v>
      </c>
      <c r="AY8" s="885">
        <v>399933</v>
      </c>
      <c r="AZ8" s="886">
        <f t="shared" si="1"/>
        <v>4623403</v>
      </c>
      <c r="BA8" s="887">
        <f t="shared" si="1"/>
        <v>16125348</v>
      </c>
    </row>
    <row r="9" spans="1:53" ht="14.25">
      <c r="A9" s="317" t="s">
        <v>286</v>
      </c>
      <c r="B9" s="888"/>
      <c r="C9" s="889"/>
      <c r="D9" s="886"/>
      <c r="E9" s="885"/>
      <c r="F9" s="886"/>
      <c r="G9" s="885"/>
      <c r="H9" s="886"/>
      <c r="I9" s="885"/>
      <c r="J9" s="886"/>
      <c r="K9" s="885"/>
      <c r="L9" s="886"/>
      <c r="M9" s="887"/>
      <c r="N9" s="884"/>
      <c r="O9" s="887"/>
      <c r="P9" s="884"/>
      <c r="Q9" s="887"/>
      <c r="R9" s="884"/>
      <c r="S9" s="887"/>
      <c r="T9" s="884"/>
      <c r="U9" s="887"/>
      <c r="V9" s="884"/>
      <c r="W9" s="887"/>
      <c r="X9" s="884">
        <v>20</v>
      </c>
      <c r="Y9" s="885">
        <v>10</v>
      </c>
      <c r="Z9" s="886"/>
      <c r="AA9" s="890"/>
      <c r="AB9" s="886"/>
      <c r="AC9" s="887"/>
      <c r="AD9" s="884"/>
      <c r="AE9" s="885"/>
      <c r="AF9" s="886"/>
      <c r="AG9" s="885"/>
      <c r="AH9" s="886"/>
      <c r="AI9" s="887"/>
      <c r="AJ9" s="884"/>
      <c r="AK9" s="885"/>
      <c r="AL9" s="886"/>
      <c r="AM9" s="885"/>
      <c r="AN9" s="886"/>
      <c r="AO9" s="885"/>
      <c r="AP9" s="886"/>
      <c r="AQ9" s="885"/>
      <c r="AR9" s="886"/>
      <c r="AS9" s="885"/>
      <c r="AT9" s="886"/>
      <c r="AU9" s="885"/>
      <c r="AV9" s="886"/>
      <c r="AW9" s="885"/>
      <c r="AX9" s="886"/>
      <c r="AY9" s="885"/>
      <c r="AZ9" s="886"/>
      <c r="BA9" s="887"/>
    </row>
    <row r="10" spans="1:53" s="61" customFormat="1" ht="14.25">
      <c r="A10" s="789" t="s">
        <v>287</v>
      </c>
      <c r="B10" s="891">
        <f aca="true" t="shared" si="2" ref="B10:W10">SUM(B5:B8)</f>
        <v>22021343</v>
      </c>
      <c r="C10" s="892">
        <f t="shared" si="2"/>
        <v>22969490</v>
      </c>
      <c r="D10" s="893">
        <f t="shared" si="2"/>
        <v>21714346</v>
      </c>
      <c r="E10" s="892">
        <f t="shared" si="2"/>
        <v>23442144</v>
      </c>
      <c r="F10" s="893">
        <f t="shared" si="2"/>
        <v>0</v>
      </c>
      <c r="G10" s="892">
        <f t="shared" si="2"/>
        <v>0</v>
      </c>
      <c r="H10" s="893">
        <f t="shared" si="2"/>
        <v>99866789</v>
      </c>
      <c r="I10" s="892">
        <f t="shared" si="2"/>
        <v>107102835</v>
      </c>
      <c r="J10" s="893">
        <f t="shared" si="2"/>
        <v>28734424</v>
      </c>
      <c r="K10" s="892">
        <f t="shared" si="2"/>
        <v>32048817</v>
      </c>
      <c r="L10" s="893">
        <f t="shared" si="2"/>
        <v>11030011</v>
      </c>
      <c r="M10" s="894">
        <f t="shared" si="2"/>
        <v>10758310</v>
      </c>
      <c r="N10" s="891">
        <f t="shared" si="2"/>
        <v>11821594</v>
      </c>
      <c r="O10" s="894">
        <f t="shared" si="2"/>
        <v>12056367</v>
      </c>
      <c r="P10" s="891">
        <f t="shared" si="2"/>
        <v>20100048</v>
      </c>
      <c r="Q10" s="894">
        <f t="shared" si="2"/>
        <v>20066836</v>
      </c>
      <c r="R10" s="891">
        <f t="shared" si="2"/>
        <v>18500267</v>
      </c>
      <c r="S10" s="894">
        <f t="shared" si="2"/>
        <v>18500309</v>
      </c>
      <c r="T10" s="891">
        <f t="shared" si="2"/>
        <v>19399885</v>
      </c>
      <c r="U10" s="894">
        <f t="shared" si="2"/>
        <v>19353159</v>
      </c>
      <c r="V10" s="891">
        <f t="shared" si="2"/>
        <v>66591482</v>
      </c>
      <c r="W10" s="894">
        <f t="shared" si="2"/>
        <v>83167433</v>
      </c>
      <c r="X10" s="891">
        <f>SUM(X5:X9)</f>
        <v>75126621</v>
      </c>
      <c r="Y10" s="892">
        <f>SUM(Y5:Y9)</f>
        <v>89076357</v>
      </c>
      <c r="Z10" s="892">
        <f aca="true" t="shared" si="3" ref="Z10:AO10">SUM(Z5:Z9)</f>
        <v>8434847</v>
      </c>
      <c r="AA10" s="892">
        <f t="shared" si="3"/>
        <v>9432850</v>
      </c>
      <c r="AB10" s="892">
        <f t="shared" si="3"/>
        <v>9160095</v>
      </c>
      <c r="AC10" s="892">
        <f t="shared" si="3"/>
        <v>9449920</v>
      </c>
      <c r="AD10" s="892">
        <f t="shared" si="3"/>
        <v>28559382</v>
      </c>
      <c r="AE10" s="892">
        <f t="shared" si="3"/>
        <v>34967834</v>
      </c>
      <c r="AF10" s="892">
        <f t="shared" si="3"/>
        <v>0</v>
      </c>
      <c r="AG10" s="892">
        <f t="shared" si="3"/>
        <v>30889449</v>
      </c>
      <c r="AH10" s="892">
        <f t="shared" si="3"/>
        <v>20128602</v>
      </c>
      <c r="AI10" s="892">
        <f t="shared" si="3"/>
        <v>20196269</v>
      </c>
      <c r="AJ10" s="892">
        <f t="shared" si="3"/>
        <v>15107026</v>
      </c>
      <c r="AK10" s="892">
        <f t="shared" si="3"/>
        <v>15065786</v>
      </c>
      <c r="AL10" s="892">
        <f t="shared" si="3"/>
        <v>0</v>
      </c>
      <c r="AM10" s="892">
        <f t="shared" si="3"/>
        <v>0</v>
      </c>
      <c r="AN10" s="892">
        <f t="shared" si="3"/>
        <v>84850526</v>
      </c>
      <c r="AO10" s="892">
        <f t="shared" si="3"/>
        <v>101332239</v>
      </c>
      <c r="AP10" s="895">
        <f aca="true" t="shared" si="4" ref="AP10:AU10">SUM(AP5:AP8)</f>
        <v>6352388</v>
      </c>
      <c r="AQ10" s="898">
        <f t="shared" si="4"/>
        <v>6967930</v>
      </c>
      <c r="AR10" s="895">
        <f t="shared" si="4"/>
        <v>6295427</v>
      </c>
      <c r="AS10" s="898">
        <f t="shared" si="4"/>
        <v>6353762</v>
      </c>
      <c r="AT10" s="895">
        <f t="shared" si="4"/>
        <v>19854848</v>
      </c>
      <c r="AU10" s="898">
        <f t="shared" si="4"/>
        <v>20283711</v>
      </c>
      <c r="AV10" s="886">
        <f t="shared" si="0"/>
        <v>593649951</v>
      </c>
      <c r="AW10" s="885">
        <f t="shared" si="0"/>
        <v>693481807</v>
      </c>
      <c r="AX10" s="895">
        <f>SUM(AX5:AX8)</f>
        <v>7569587</v>
      </c>
      <c r="AY10" s="898">
        <f>SUM(AY5:AY8)</f>
        <v>7690518</v>
      </c>
      <c r="AZ10" s="886">
        <f t="shared" si="1"/>
        <v>601219538</v>
      </c>
      <c r="BA10" s="887">
        <f t="shared" si="1"/>
        <v>701172325</v>
      </c>
    </row>
    <row r="11" spans="1:53" ht="14.25">
      <c r="A11" s="317" t="s">
        <v>288</v>
      </c>
      <c r="B11" s="888"/>
      <c r="C11" s="889"/>
      <c r="D11" s="886">
        <v>700000</v>
      </c>
      <c r="E11" s="885">
        <v>700000</v>
      </c>
      <c r="F11" s="886"/>
      <c r="G11" s="885"/>
      <c r="H11" s="886"/>
      <c r="I11" s="885"/>
      <c r="J11" s="886">
        <v>600000</v>
      </c>
      <c r="K11" s="885">
        <v>600000</v>
      </c>
      <c r="L11" s="886">
        <v>38565</v>
      </c>
      <c r="M11" s="887">
        <v>285343</v>
      </c>
      <c r="N11" s="884"/>
      <c r="O11" s="887"/>
      <c r="P11" s="884"/>
      <c r="Q11" s="887"/>
      <c r="R11" s="884"/>
      <c r="S11" s="887"/>
      <c r="T11" s="884"/>
      <c r="U11" s="887">
        <v>300000</v>
      </c>
      <c r="V11" s="884"/>
      <c r="W11" s="887">
        <v>6000000</v>
      </c>
      <c r="X11" s="884"/>
      <c r="Y11" s="885">
        <v>12000000</v>
      </c>
      <c r="Z11" s="886"/>
      <c r="AA11" s="885"/>
      <c r="AB11" s="886">
        <v>1000000</v>
      </c>
      <c r="AC11" s="887">
        <f>AB11</f>
        <v>1000000</v>
      </c>
      <c r="AD11" s="884"/>
      <c r="AE11" s="885"/>
      <c r="AF11" s="886"/>
      <c r="AG11" s="885"/>
      <c r="AH11" s="886">
        <v>16091</v>
      </c>
      <c r="AI11" s="887"/>
      <c r="AJ11" s="884"/>
      <c r="AK11" s="885"/>
      <c r="AL11" s="886"/>
      <c r="AM11" s="885"/>
      <c r="AN11" s="886"/>
      <c r="AO11" s="885"/>
      <c r="AP11" s="886"/>
      <c r="AQ11" s="885"/>
      <c r="AR11" s="886"/>
      <c r="AS11" s="885"/>
      <c r="AT11" s="886"/>
      <c r="AU11" s="885"/>
      <c r="AV11" s="886">
        <f t="shared" si="0"/>
        <v>2354656</v>
      </c>
      <c r="AW11" s="885">
        <f t="shared" si="0"/>
        <v>20885343</v>
      </c>
      <c r="AX11" s="886"/>
      <c r="AY11" s="885"/>
      <c r="AZ11" s="886">
        <f t="shared" si="1"/>
        <v>2354656</v>
      </c>
      <c r="BA11" s="887">
        <f t="shared" si="1"/>
        <v>20885343</v>
      </c>
    </row>
    <row r="12" spans="1:53" ht="14.25">
      <c r="A12" s="789" t="s">
        <v>289</v>
      </c>
      <c r="B12" s="888"/>
      <c r="C12" s="889"/>
      <c r="D12" s="886"/>
      <c r="E12" s="885"/>
      <c r="F12" s="886"/>
      <c r="G12" s="885"/>
      <c r="H12" s="886"/>
      <c r="I12" s="885"/>
      <c r="J12" s="886"/>
      <c r="K12" s="885"/>
      <c r="L12" s="886"/>
      <c r="M12" s="887"/>
      <c r="N12" s="884"/>
      <c r="O12" s="887"/>
      <c r="P12" s="884"/>
      <c r="Q12" s="887"/>
      <c r="R12" s="884">
        <v>459723</v>
      </c>
      <c r="S12" s="887"/>
      <c r="T12" s="884"/>
      <c r="U12" s="887"/>
      <c r="V12" s="884"/>
      <c r="W12" s="887"/>
      <c r="X12" s="884"/>
      <c r="Y12" s="885"/>
      <c r="Z12" s="886"/>
      <c r="AA12" s="885"/>
      <c r="AB12" s="886"/>
      <c r="AC12" s="887"/>
      <c r="AD12" s="884"/>
      <c r="AE12" s="885"/>
      <c r="AF12" s="886"/>
      <c r="AG12" s="885"/>
      <c r="AH12" s="886"/>
      <c r="AI12" s="887"/>
      <c r="AJ12" s="884"/>
      <c r="AK12" s="885"/>
      <c r="AL12" s="886"/>
      <c r="AM12" s="885"/>
      <c r="AN12" s="886"/>
      <c r="AO12" s="885"/>
      <c r="AP12" s="886"/>
      <c r="AQ12" s="885"/>
      <c r="AR12" s="886"/>
      <c r="AS12" s="885"/>
      <c r="AT12" s="886"/>
      <c r="AU12" s="885"/>
      <c r="AV12" s="886">
        <f t="shared" si="0"/>
        <v>459723</v>
      </c>
      <c r="AW12" s="885">
        <f t="shared" si="0"/>
        <v>0</v>
      </c>
      <c r="AX12" s="886"/>
      <c r="AY12" s="885"/>
      <c r="AZ12" s="886">
        <f t="shared" si="1"/>
        <v>459723</v>
      </c>
      <c r="BA12" s="887">
        <f t="shared" si="1"/>
        <v>0</v>
      </c>
    </row>
    <row r="13" spans="1:53" ht="14.25">
      <c r="A13" s="317" t="s">
        <v>285</v>
      </c>
      <c r="B13" s="888">
        <v>1086349</v>
      </c>
      <c r="C13" s="889">
        <v>3121273</v>
      </c>
      <c r="D13" s="886">
        <v>3128</v>
      </c>
      <c r="E13" s="885">
        <v>34912</v>
      </c>
      <c r="F13" s="886"/>
      <c r="G13" s="885"/>
      <c r="H13" s="886">
        <v>10381152</v>
      </c>
      <c r="I13" s="885">
        <v>18318663</v>
      </c>
      <c r="J13" s="886">
        <v>178061</v>
      </c>
      <c r="K13" s="885">
        <v>634153</v>
      </c>
      <c r="L13" s="886"/>
      <c r="M13" s="887"/>
      <c r="N13" s="884">
        <v>-10415</v>
      </c>
      <c r="O13" s="887">
        <v>14151</v>
      </c>
      <c r="P13" s="884">
        <v>63017</v>
      </c>
      <c r="Q13" s="887">
        <v>381973</v>
      </c>
      <c r="R13" s="884"/>
      <c r="S13" s="887"/>
      <c r="T13" s="884">
        <v>89225</v>
      </c>
      <c r="U13" s="887">
        <v>-16844</v>
      </c>
      <c r="V13" s="884">
        <v>9672946</v>
      </c>
      <c r="W13" s="887">
        <v>27386187</v>
      </c>
      <c r="X13" s="884">
        <v>19255429</v>
      </c>
      <c r="Y13" s="885">
        <v>32353365</v>
      </c>
      <c r="Z13" s="886">
        <v>-115031</v>
      </c>
      <c r="AA13" s="885">
        <v>20228</v>
      </c>
      <c r="AB13" s="886">
        <v>76001</v>
      </c>
      <c r="AC13" s="887">
        <v>176926</v>
      </c>
      <c r="AD13" s="884">
        <v>2589149</v>
      </c>
      <c r="AE13" s="885">
        <v>1767530</v>
      </c>
      <c r="AF13" s="886"/>
      <c r="AG13" s="885">
        <v>10898301</v>
      </c>
      <c r="AH13" s="886">
        <v>-35311</v>
      </c>
      <c r="AI13" s="887">
        <v>2291340</v>
      </c>
      <c r="AJ13" s="884">
        <v>394440</v>
      </c>
      <c r="AK13" s="885">
        <v>483</v>
      </c>
      <c r="AL13" s="886"/>
      <c r="AM13" s="885"/>
      <c r="AN13" s="886">
        <v>12461111</v>
      </c>
      <c r="AO13" s="885">
        <v>23836540</v>
      </c>
      <c r="AP13" s="886">
        <v>267111</v>
      </c>
      <c r="AQ13" s="885">
        <v>454080</v>
      </c>
      <c r="AR13" s="886">
        <v>12376</v>
      </c>
      <c r="AS13" s="885">
        <v>7949</v>
      </c>
      <c r="AT13" s="886">
        <v>8316973</v>
      </c>
      <c r="AU13" s="885">
        <v>13098535</v>
      </c>
      <c r="AV13" s="886">
        <f t="shared" si="0"/>
        <v>64685711</v>
      </c>
      <c r="AW13" s="885">
        <f t="shared" si="0"/>
        <v>134779745</v>
      </c>
      <c r="AX13" s="886">
        <v>1805546374</v>
      </c>
      <c r="AY13" s="885">
        <v>2123017063</v>
      </c>
      <c r="AZ13" s="886">
        <f t="shared" si="1"/>
        <v>1870232085</v>
      </c>
      <c r="BA13" s="887">
        <f t="shared" si="1"/>
        <v>2257796808</v>
      </c>
    </row>
    <row r="14" spans="1:53" ht="14.25">
      <c r="A14" s="317" t="s">
        <v>290</v>
      </c>
      <c r="B14" s="888"/>
      <c r="C14" s="889"/>
      <c r="D14" s="886"/>
      <c r="E14" s="885"/>
      <c r="F14" s="886"/>
      <c r="G14" s="885"/>
      <c r="H14" s="886"/>
      <c r="I14" s="885"/>
      <c r="J14" s="886"/>
      <c r="K14" s="885"/>
      <c r="L14" s="886"/>
      <c r="M14" s="887"/>
      <c r="N14" s="884"/>
      <c r="O14" s="887"/>
      <c r="P14" s="884"/>
      <c r="Q14" s="887"/>
      <c r="R14" s="884"/>
      <c r="S14" s="887"/>
      <c r="T14" s="884"/>
      <c r="U14" s="887"/>
      <c r="V14" s="884"/>
      <c r="W14" s="887"/>
      <c r="X14" s="884">
        <v>648079</v>
      </c>
      <c r="Y14" s="885">
        <v>655199</v>
      </c>
      <c r="Z14" s="886"/>
      <c r="AA14" s="885"/>
      <c r="AB14" s="886"/>
      <c r="AC14" s="887"/>
      <c r="AD14" s="884">
        <v>433139</v>
      </c>
      <c r="AE14" s="885">
        <v>433139</v>
      </c>
      <c r="AF14" s="886"/>
      <c r="AG14" s="885">
        <v>22248</v>
      </c>
      <c r="AH14" s="886"/>
      <c r="AI14" s="887"/>
      <c r="AJ14" s="884"/>
      <c r="AK14" s="885"/>
      <c r="AL14" s="886"/>
      <c r="AM14" s="885"/>
      <c r="AN14" s="886"/>
      <c r="AO14" s="885"/>
      <c r="AP14" s="886"/>
      <c r="AQ14" s="885"/>
      <c r="AR14" s="886"/>
      <c r="AS14" s="885"/>
      <c r="AT14" s="886"/>
      <c r="AU14" s="885"/>
      <c r="AV14" s="886">
        <f t="shared" si="0"/>
        <v>1081218</v>
      </c>
      <c r="AW14" s="885">
        <f t="shared" si="0"/>
        <v>1110586</v>
      </c>
      <c r="AX14" s="886"/>
      <c r="AY14" s="885"/>
      <c r="AZ14" s="886">
        <f t="shared" si="1"/>
        <v>1081218</v>
      </c>
      <c r="BA14" s="887">
        <f t="shared" si="1"/>
        <v>1110586</v>
      </c>
    </row>
    <row r="15" spans="1:53" ht="14.25">
      <c r="A15" s="317" t="s">
        <v>291</v>
      </c>
      <c r="B15" s="888">
        <v>158010842</v>
      </c>
      <c r="C15" s="889">
        <v>209483970</v>
      </c>
      <c r="D15" s="886"/>
      <c r="E15" s="885"/>
      <c r="F15" s="886"/>
      <c r="G15" s="885"/>
      <c r="H15" s="886">
        <v>258946307</v>
      </c>
      <c r="I15" s="885">
        <v>302660418</v>
      </c>
      <c r="J15" s="886"/>
      <c r="K15" s="885"/>
      <c r="L15" s="886"/>
      <c r="M15" s="887"/>
      <c r="N15" s="884"/>
      <c r="O15" s="887"/>
      <c r="P15" s="884"/>
      <c r="Q15" s="887"/>
      <c r="R15" s="884"/>
      <c r="S15" s="887"/>
      <c r="T15" s="884"/>
      <c r="U15" s="887"/>
      <c r="V15" s="884"/>
      <c r="W15" s="887"/>
      <c r="X15" s="884"/>
      <c r="Y15" s="885"/>
      <c r="Z15" s="886"/>
      <c r="AA15" s="885"/>
      <c r="AB15" s="886"/>
      <c r="AC15" s="887"/>
      <c r="AD15" s="884"/>
      <c r="AE15" s="885"/>
      <c r="AF15" s="886"/>
      <c r="AG15" s="885"/>
      <c r="AH15" s="886"/>
      <c r="AI15" s="887"/>
      <c r="AJ15" s="884"/>
      <c r="AK15" s="885"/>
      <c r="AL15" s="886"/>
      <c r="AM15" s="885"/>
      <c r="AN15" s="886"/>
      <c r="AO15" s="885"/>
      <c r="AP15" s="886"/>
      <c r="AQ15" s="885"/>
      <c r="AR15" s="886"/>
      <c r="AS15" s="885"/>
      <c r="AT15" s="886"/>
      <c r="AU15" s="885"/>
      <c r="AV15" s="886">
        <f t="shared" si="0"/>
        <v>416957149</v>
      </c>
      <c r="AW15" s="885">
        <f t="shared" si="0"/>
        <v>512144388</v>
      </c>
      <c r="AX15" s="886"/>
      <c r="AY15" s="885"/>
      <c r="AZ15" s="886">
        <f t="shared" si="1"/>
        <v>416957149</v>
      </c>
      <c r="BA15" s="887">
        <f t="shared" si="1"/>
        <v>512144388</v>
      </c>
    </row>
    <row r="16" spans="1:53" ht="14.25">
      <c r="A16" s="317" t="s">
        <v>292</v>
      </c>
      <c r="B16" s="888"/>
      <c r="C16" s="889"/>
      <c r="D16" s="886"/>
      <c r="E16" s="885"/>
      <c r="F16" s="886"/>
      <c r="G16" s="885"/>
      <c r="H16" s="886"/>
      <c r="I16" s="885"/>
      <c r="J16" s="886"/>
      <c r="K16" s="885"/>
      <c r="L16" s="886">
        <v>862947</v>
      </c>
      <c r="M16" s="887">
        <v>1448157</v>
      </c>
      <c r="N16" s="884"/>
      <c r="O16" s="887"/>
      <c r="P16" s="884"/>
      <c r="Q16" s="887"/>
      <c r="R16" s="884"/>
      <c r="S16" s="887"/>
      <c r="T16" s="884"/>
      <c r="U16" s="887"/>
      <c r="V16" s="884"/>
      <c r="W16" s="887"/>
      <c r="X16" s="884"/>
      <c r="Y16" s="885"/>
      <c r="Z16" s="886"/>
      <c r="AA16" s="885"/>
      <c r="AB16" s="886"/>
      <c r="AC16" s="887"/>
      <c r="AD16" s="884"/>
      <c r="AE16" s="885"/>
      <c r="AF16" s="886"/>
      <c r="AG16" s="885"/>
      <c r="AH16" s="886"/>
      <c r="AI16" s="887"/>
      <c r="AJ16" s="884"/>
      <c r="AK16" s="885"/>
      <c r="AL16" s="886"/>
      <c r="AM16" s="885"/>
      <c r="AN16" s="886"/>
      <c r="AO16" s="885"/>
      <c r="AP16" s="886"/>
      <c r="AQ16" s="885"/>
      <c r="AR16" s="886"/>
      <c r="AS16" s="885"/>
      <c r="AT16" s="886"/>
      <c r="AU16" s="885"/>
      <c r="AV16" s="886">
        <f t="shared" si="0"/>
        <v>862947</v>
      </c>
      <c r="AW16" s="885">
        <f t="shared" si="0"/>
        <v>1448157</v>
      </c>
      <c r="AX16" s="886"/>
      <c r="AY16" s="885"/>
      <c r="AZ16" s="886">
        <f t="shared" si="1"/>
        <v>862947</v>
      </c>
      <c r="BA16" s="887">
        <f t="shared" si="1"/>
        <v>1448157</v>
      </c>
    </row>
    <row r="17" spans="1:53" ht="14.25">
      <c r="A17" s="789" t="s">
        <v>291</v>
      </c>
      <c r="B17" s="888"/>
      <c r="C17" s="889"/>
      <c r="D17" s="886">
        <v>14076719</v>
      </c>
      <c r="E17" s="885">
        <v>16732669</v>
      </c>
      <c r="F17" s="886"/>
      <c r="G17" s="885"/>
      <c r="H17" s="886"/>
      <c r="I17" s="885"/>
      <c r="J17" s="886">
        <v>53886360</v>
      </c>
      <c r="K17" s="885">
        <v>68499880</v>
      </c>
      <c r="L17" s="886">
        <v>54627191</v>
      </c>
      <c r="M17" s="887">
        <v>79257872</v>
      </c>
      <c r="N17" s="884">
        <v>36478691</v>
      </c>
      <c r="O17" s="887">
        <v>41686580</v>
      </c>
      <c r="P17" s="884">
        <v>17842490</v>
      </c>
      <c r="Q17" s="887">
        <v>24017302</v>
      </c>
      <c r="R17" s="884">
        <f>75798581+109772+29329694+1187284+8529323+9925704</f>
        <v>124880358</v>
      </c>
      <c r="S17" s="887">
        <f>85487707+189714+34608136+1744568+8228471+10321642</f>
        <v>140580238</v>
      </c>
      <c r="T17" s="884">
        <v>33399133</v>
      </c>
      <c r="U17" s="887">
        <v>38995232</v>
      </c>
      <c r="V17" s="884">
        <v>619576638</v>
      </c>
      <c r="W17" s="887">
        <v>793892203</v>
      </c>
      <c r="X17" s="884">
        <v>1606740738</v>
      </c>
      <c r="Y17" s="885">
        <v>1896280942</v>
      </c>
      <c r="Z17" s="886">
        <v>62554036</v>
      </c>
      <c r="AA17" s="885">
        <v>72736791</v>
      </c>
      <c r="AB17" s="886">
        <v>95677751</v>
      </c>
      <c r="AC17" s="887">
        <v>98020912</v>
      </c>
      <c r="AD17" s="884">
        <v>159308869</v>
      </c>
      <c r="AE17" s="885">
        <v>202169260</v>
      </c>
      <c r="AF17" s="886"/>
      <c r="AG17" s="885">
        <v>523943475</v>
      </c>
      <c r="AH17" s="886">
        <v>1471143127</v>
      </c>
      <c r="AI17" s="887">
        <v>180776475</v>
      </c>
      <c r="AJ17" s="884">
        <v>141687466</v>
      </c>
      <c r="AK17" s="885">
        <v>163490753</v>
      </c>
      <c r="AL17" s="886"/>
      <c r="AM17" s="885"/>
      <c r="AN17" s="886">
        <v>730291562</v>
      </c>
      <c r="AO17" s="885">
        <v>877247196</v>
      </c>
      <c r="AP17" s="886">
        <v>37792948</v>
      </c>
      <c r="AQ17" s="885">
        <v>48497262</v>
      </c>
      <c r="AR17" s="886">
        <v>61402337</v>
      </c>
      <c r="AS17" s="885">
        <v>78669447</v>
      </c>
      <c r="AT17" s="886">
        <v>188439248</v>
      </c>
      <c r="AU17" s="885">
        <v>243845532</v>
      </c>
      <c r="AV17" s="886">
        <f t="shared" si="0"/>
        <v>5509805662</v>
      </c>
      <c r="AW17" s="885">
        <f t="shared" si="0"/>
        <v>5589340021</v>
      </c>
      <c r="AX17" s="886">
        <v>30264656384</v>
      </c>
      <c r="AY17" s="885">
        <v>33378307638</v>
      </c>
      <c r="AZ17" s="886">
        <f t="shared" si="1"/>
        <v>35774462046</v>
      </c>
      <c r="BA17" s="887">
        <f t="shared" si="1"/>
        <v>38967647659</v>
      </c>
    </row>
    <row r="18" spans="1:53" ht="14.25">
      <c r="A18" s="317" t="s">
        <v>227</v>
      </c>
      <c r="B18" s="888"/>
      <c r="C18" s="889"/>
      <c r="D18" s="886"/>
      <c r="E18" s="885"/>
      <c r="F18" s="886"/>
      <c r="G18" s="885"/>
      <c r="H18" s="886"/>
      <c r="I18" s="885"/>
      <c r="J18" s="886"/>
      <c r="K18" s="885"/>
      <c r="L18" s="886"/>
      <c r="M18" s="887"/>
      <c r="N18" s="884"/>
      <c r="O18" s="887"/>
      <c r="P18" s="884"/>
      <c r="Q18" s="887"/>
      <c r="R18" s="884"/>
      <c r="S18" s="887"/>
      <c r="T18" s="884"/>
      <c r="U18" s="887"/>
      <c r="V18" s="884"/>
      <c r="W18" s="887"/>
      <c r="X18" s="884"/>
      <c r="Y18" s="885"/>
      <c r="Z18" s="886"/>
      <c r="AA18" s="885"/>
      <c r="AB18" s="886"/>
      <c r="AC18" s="887"/>
      <c r="AD18" s="884"/>
      <c r="AE18" s="885"/>
      <c r="AF18" s="886"/>
      <c r="AG18" s="885"/>
      <c r="AH18" s="886"/>
      <c r="AI18" s="887"/>
      <c r="AJ18" s="884"/>
      <c r="AK18" s="885"/>
      <c r="AL18" s="886"/>
      <c r="AM18" s="885"/>
      <c r="AN18" s="886"/>
      <c r="AO18" s="885"/>
      <c r="AP18" s="886"/>
      <c r="AQ18" s="885"/>
      <c r="AR18" s="886"/>
      <c r="AS18" s="885"/>
      <c r="AT18" s="886"/>
      <c r="AU18" s="885"/>
      <c r="AV18" s="886">
        <f t="shared" si="0"/>
        <v>0</v>
      </c>
      <c r="AW18" s="885">
        <f t="shared" si="0"/>
        <v>0</v>
      </c>
      <c r="AX18" s="886"/>
      <c r="AY18" s="885"/>
      <c r="AZ18" s="886">
        <f t="shared" si="1"/>
        <v>0</v>
      </c>
      <c r="BA18" s="887">
        <f t="shared" si="1"/>
        <v>0</v>
      </c>
    </row>
    <row r="19" spans="1:53" ht="14.25">
      <c r="A19" s="317" t="s">
        <v>293</v>
      </c>
      <c r="B19" s="888"/>
      <c r="C19" s="889"/>
      <c r="D19" s="886"/>
      <c r="E19" s="885"/>
      <c r="F19" s="886"/>
      <c r="G19" s="885"/>
      <c r="H19" s="886"/>
      <c r="I19" s="885"/>
      <c r="J19" s="886"/>
      <c r="K19" s="885"/>
      <c r="L19" s="886"/>
      <c r="M19" s="887"/>
      <c r="N19" s="884"/>
      <c r="O19" s="887"/>
      <c r="P19" s="884"/>
      <c r="Q19" s="887"/>
      <c r="R19" s="884"/>
      <c r="S19" s="887"/>
      <c r="T19" s="884"/>
      <c r="U19" s="887"/>
      <c r="V19" s="884"/>
      <c r="W19" s="887"/>
      <c r="X19" s="884"/>
      <c r="Y19" s="885"/>
      <c r="Z19" s="886"/>
      <c r="AA19" s="885"/>
      <c r="AB19" s="886"/>
      <c r="AC19" s="887"/>
      <c r="AD19" s="884"/>
      <c r="AE19" s="885"/>
      <c r="AF19" s="886"/>
      <c r="AG19" s="885"/>
      <c r="AH19" s="886"/>
      <c r="AI19" s="887"/>
      <c r="AJ19" s="884"/>
      <c r="AK19" s="885"/>
      <c r="AL19" s="886"/>
      <c r="AM19" s="885"/>
      <c r="AN19" s="886"/>
      <c r="AO19" s="885"/>
      <c r="AP19" s="886"/>
      <c r="AQ19" s="885"/>
      <c r="AR19" s="886"/>
      <c r="AS19" s="885"/>
      <c r="AT19" s="886"/>
      <c r="AU19" s="885"/>
      <c r="AV19" s="886">
        <f t="shared" si="0"/>
        <v>0</v>
      </c>
      <c r="AW19" s="885">
        <f t="shared" si="0"/>
        <v>0</v>
      </c>
      <c r="AX19" s="886"/>
      <c r="AY19" s="885"/>
      <c r="AZ19" s="886">
        <f t="shared" si="1"/>
        <v>0</v>
      </c>
      <c r="BA19" s="887">
        <f t="shared" si="1"/>
        <v>0</v>
      </c>
    </row>
    <row r="20" spans="1:53" ht="14.25">
      <c r="A20" s="789" t="s">
        <v>294</v>
      </c>
      <c r="B20" s="888"/>
      <c r="C20" s="889"/>
      <c r="D20" s="886"/>
      <c r="E20" s="885"/>
      <c r="F20" s="886"/>
      <c r="G20" s="885"/>
      <c r="H20" s="886"/>
      <c r="I20" s="885"/>
      <c r="J20" s="886"/>
      <c r="K20" s="885"/>
      <c r="L20" s="886"/>
      <c r="M20" s="887"/>
      <c r="N20" s="884"/>
      <c r="O20" s="887"/>
      <c r="P20" s="884"/>
      <c r="Q20" s="887"/>
      <c r="R20" s="884"/>
      <c r="S20" s="887"/>
      <c r="T20" s="884"/>
      <c r="U20" s="887"/>
      <c r="V20" s="884"/>
      <c r="W20" s="887"/>
      <c r="X20" s="884"/>
      <c r="Y20" s="885"/>
      <c r="Z20" s="886"/>
      <c r="AA20" s="885"/>
      <c r="AB20" s="886"/>
      <c r="AC20" s="887"/>
      <c r="AD20" s="884"/>
      <c r="AE20" s="885"/>
      <c r="AF20" s="886"/>
      <c r="AG20" s="885"/>
      <c r="AH20" s="886"/>
      <c r="AI20" s="887"/>
      <c r="AJ20" s="884"/>
      <c r="AK20" s="885"/>
      <c r="AL20" s="886"/>
      <c r="AM20" s="885"/>
      <c r="AN20" s="886"/>
      <c r="AO20" s="885"/>
      <c r="AP20" s="886"/>
      <c r="AQ20" s="885"/>
      <c r="AR20" s="886"/>
      <c r="AS20" s="885"/>
      <c r="AT20" s="886"/>
      <c r="AU20" s="885"/>
      <c r="AV20" s="886">
        <f t="shared" si="0"/>
        <v>0</v>
      </c>
      <c r="AW20" s="885">
        <f t="shared" si="0"/>
        <v>0</v>
      </c>
      <c r="AX20" s="886">
        <v>97163407</v>
      </c>
      <c r="AY20" s="885">
        <v>128425036</v>
      </c>
      <c r="AZ20" s="886">
        <f t="shared" si="1"/>
        <v>97163407</v>
      </c>
      <c r="BA20" s="887">
        <f t="shared" si="1"/>
        <v>128425036</v>
      </c>
    </row>
    <row r="21" spans="1:53" ht="14.25">
      <c r="A21" s="317" t="s">
        <v>295</v>
      </c>
      <c r="B21" s="888"/>
      <c r="C21" s="889"/>
      <c r="D21" s="886">
        <v>8389577</v>
      </c>
      <c r="E21" s="885">
        <v>7013975</v>
      </c>
      <c r="F21" s="886"/>
      <c r="G21" s="885"/>
      <c r="H21" s="886"/>
      <c r="I21" s="885"/>
      <c r="J21" s="886"/>
      <c r="K21" s="885"/>
      <c r="L21" s="886"/>
      <c r="M21" s="887"/>
      <c r="N21" s="884"/>
      <c r="O21" s="887"/>
      <c r="P21" s="884"/>
      <c r="Q21" s="887"/>
      <c r="R21" s="884"/>
      <c r="S21" s="887"/>
      <c r="T21" s="884"/>
      <c r="U21" s="887"/>
      <c r="V21" s="884"/>
      <c r="W21" s="887"/>
      <c r="X21" s="884"/>
      <c r="Y21" s="885"/>
      <c r="Z21" s="886"/>
      <c r="AA21" s="885"/>
      <c r="AB21" s="886"/>
      <c r="AC21" s="887"/>
      <c r="AD21" s="884"/>
      <c r="AE21" s="885"/>
      <c r="AF21" s="886"/>
      <c r="AG21" s="885"/>
      <c r="AH21" s="886"/>
      <c r="AI21" s="887"/>
      <c r="AJ21" s="884"/>
      <c r="AK21" s="885"/>
      <c r="AL21" s="886"/>
      <c r="AM21" s="885"/>
      <c r="AN21" s="886"/>
      <c r="AO21" s="885"/>
      <c r="AP21" s="886"/>
      <c r="AQ21" s="885"/>
      <c r="AR21" s="886"/>
      <c r="AS21" s="885"/>
      <c r="AT21" s="886"/>
      <c r="AU21" s="885"/>
      <c r="AV21" s="886">
        <f t="shared" si="0"/>
        <v>8389577</v>
      </c>
      <c r="AW21" s="885">
        <f t="shared" si="0"/>
        <v>7013975</v>
      </c>
      <c r="AX21" s="886"/>
      <c r="AY21" s="885"/>
      <c r="AZ21" s="886">
        <f t="shared" si="1"/>
        <v>8389577</v>
      </c>
      <c r="BA21" s="887">
        <f t="shared" si="1"/>
        <v>7013975</v>
      </c>
    </row>
    <row r="22" spans="1:53" ht="14.25">
      <c r="A22" s="317" t="s">
        <v>296</v>
      </c>
      <c r="B22" s="888"/>
      <c r="C22" s="889"/>
      <c r="D22" s="886">
        <v>-54438</v>
      </c>
      <c r="E22" s="885">
        <v>2064549</v>
      </c>
      <c r="F22" s="886"/>
      <c r="G22" s="885"/>
      <c r="H22" s="886"/>
      <c r="I22" s="885"/>
      <c r="J22" s="886"/>
      <c r="K22" s="885"/>
      <c r="L22" s="886"/>
      <c r="M22" s="887"/>
      <c r="N22" s="884"/>
      <c r="O22" s="887"/>
      <c r="P22" s="884"/>
      <c r="Q22" s="887"/>
      <c r="R22" s="884"/>
      <c r="S22" s="887"/>
      <c r="T22" s="884"/>
      <c r="U22" s="887"/>
      <c r="V22" s="884"/>
      <c r="W22" s="887"/>
      <c r="X22" s="884"/>
      <c r="Y22" s="885"/>
      <c r="Z22" s="886"/>
      <c r="AA22" s="885"/>
      <c r="AB22" s="886"/>
      <c r="AC22" s="887"/>
      <c r="AD22" s="884"/>
      <c r="AE22" s="885"/>
      <c r="AF22" s="886"/>
      <c r="AG22" s="885"/>
      <c r="AH22" s="886"/>
      <c r="AI22" s="887"/>
      <c r="AJ22" s="884"/>
      <c r="AK22" s="885"/>
      <c r="AL22" s="886"/>
      <c r="AM22" s="885"/>
      <c r="AN22" s="886"/>
      <c r="AO22" s="885"/>
      <c r="AP22" s="886"/>
      <c r="AQ22" s="885"/>
      <c r="AR22" s="886"/>
      <c r="AS22" s="885"/>
      <c r="AT22" s="886"/>
      <c r="AU22" s="885"/>
      <c r="AV22" s="886">
        <f t="shared" si="0"/>
        <v>-54438</v>
      </c>
      <c r="AW22" s="885">
        <f t="shared" si="0"/>
        <v>2064549</v>
      </c>
      <c r="AX22" s="886"/>
      <c r="AY22" s="885"/>
      <c r="AZ22" s="886">
        <f t="shared" si="1"/>
        <v>-54438</v>
      </c>
      <c r="BA22" s="887">
        <f t="shared" si="1"/>
        <v>2064549</v>
      </c>
    </row>
    <row r="23" spans="1:53" ht="14.25">
      <c r="A23" s="789" t="s">
        <v>297</v>
      </c>
      <c r="B23" s="888">
        <v>228164507</v>
      </c>
      <c r="C23" s="889">
        <v>235125081</v>
      </c>
      <c r="D23" s="886">
        <v>8335139</v>
      </c>
      <c r="E23" s="885">
        <v>9078524</v>
      </c>
      <c r="F23" s="886"/>
      <c r="G23" s="885"/>
      <c r="H23" s="886">
        <v>202654459</v>
      </c>
      <c r="I23" s="885">
        <v>210128675</v>
      </c>
      <c r="J23" s="886">
        <v>10766098</v>
      </c>
      <c r="K23" s="885">
        <v>13273519</v>
      </c>
      <c r="L23" s="886">
        <v>80693146</v>
      </c>
      <c r="M23" s="887">
        <v>84199083</v>
      </c>
      <c r="N23" s="884">
        <v>3752691</v>
      </c>
      <c r="O23" s="887">
        <v>4041948</v>
      </c>
      <c r="P23" s="884">
        <v>6654419</v>
      </c>
      <c r="Q23" s="887">
        <v>8986554</v>
      </c>
      <c r="R23" s="884">
        <v>16504819</v>
      </c>
      <c r="S23" s="887">
        <v>15995203</v>
      </c>
      <c r="T23" s="884">
        <v>5335172</v>
      </c>
      <c r="U23" s="887">
        <v>5328898</v>
      </c>
      <c r="V23" s="884">
        <v>529809262</v>
      </c>
      <c r="W23" s="887">
        <v>548573423</v>
      </c>
      <c r="X23" s="884">
        <v>1071996731</v>
      </c>
      <c r="Y23" s="885">
        <v>1234904861</v>
      </c>
      <c r="Z23" s="886">
        <v>28325027</v>
      </c>
      <c r="AA23" s="885">
        <v>31456293</v>
      </c>
      <c r="AB23" s="886">
        <v>43700161</v>
      </c>
      <c r="AC23" s="887">
        <v>51343312</v>
      </c>
      <c r="AD23" s="884">
        <v>148958107</v>
      </c>
      <c r="AE23" s="885">
        <v>148958107</v>
      </c>
      <c r="AF23" s="886"/>
      <c r="AG23" s="885">
        <v>235106449</v>
      </c>
      <c r="AH23" s="886">
        <f>526171+56430767</f>
        <v>56956938</v>
      </c>
      <c r="AI23" s="887">
        <f>606824+60766292</f>
        <v>61373116</v>
      </c>
      <c r="AJ23" s="884">
        <v>52971290</v>
      </c>
      <c r="AK23" s="885">
        <v>54116404</v>
      </c>
      <c r="AL23" s="886"/>
      <c r="AM23" s="885"/>
      <c r="AN23" s="886">
        <v>712184591</v>
      </c>
      <c r="AO23" s="885">
        <v>895813175</v>
      </c>
      <c r="AP23" s="886">
        <v>4898911</v>
      </c>
      <c r="AQ23" s="885">
        <v>5062820</v>
      </c>
      <c r="AR23" s="886">
        <v>19912853</v>
      </c>
      <c r="AS23" s="885">
        <v>19965980</v>
      </c>
      <c r="AT23" s="886">
        <f>1409+107949301+5498151+33556</f>
        <v>113482417</v>
      </c>
      <c r="AU23" s="885">
        <f>4174+139396503+9221741+58053-90697</f>
        <v>148589774</v>
      </c>
      <c r="AV23" s="886">
        <f t="shared" si="0"/>
        <v>3346056738</v>
      </c>
      <c r="AW23" s="885">
        <f t="shared" si="0"/>
        <v>4021421199</v>
      </c>
      <c r="AX23" s="886">
        <v>378477171</v>
      </c>
      <c r="AY23" s="885">
        <v>356216391</v>
      </c>
      <c r="AZ23" s="886">
        <f t="shared" si="1"/>
        <v>3724533909</v>
      </c>
      <c r="BA23" s="887">
        <f t="shared" si="1"/>
        <v>4377637590</v>
      </c>
    </row>
    <row r="24" spans="1:53" ht="14.25">
      <c r="A24" s="317" t="s">
        <v>298</v>
      </c>
      <c r="B24" s="888">
        <v>19282329</v>
      </c>
      <c r="C24" s="889">
        <v>33857733</v>
      </c>
      <c r="D24" s="886"/>
      <c r="E24" s="885"/>
      <c r="F24" s="886"/>
      <c r="G24" s="885"/>
      <c r="H24" s="886">
        <v>19276560</v>
      </c>
      <c r="I24" s="885">
        <v>45744116</v>
      </c>
      <c r="J24" s="886"/>
      <c r="K24" s="885"/>
      <c r="L24" s="886">
        <v>10253994</v>
      </c>
      <c r="M24" s="887">
        <v>20588308</v>
      </c>
      <c r="N24" s="884"/>
      <c r="O24" s="887"/>
      <c r="P24" s="884">
        <v>440102</v>
      </c>
      <c r="Q24" s="887">
        <v>1447195</v>
      </c>
      <c r="R24" s="884">
        <v>2292714</v>
      </c>
      <c r="S24" s="887">
        <v>3822267</v>
      </c>
      <c r="T24" s="884"/>
      <c r="U24" s="887"/>
      <c r="V24" s="884">
        <v>83710731</v>
      </c>
      <c r="W24" s="887">
        <v>146312033</v>
      </c>
      <c r="X24" s="884"/>
      <c r="Y24" s="885"/>
      <c r="Z24" s="886"/>
      <c r="AA24" s="885"/>
      <c r="AB24" s="886"/>
      <c r="AC24" s="887"/>
      <c r="AD24" s="884"/>
      <c r="AE24" s="885"/>
      <c r="AF24" s="886"/>
      <c r="AG24" s="885"/>
      <c r="AH24" s="886"/>
      <c r="AI24" s="887"/>
      <c r="AJ24" s="884"/>
      <c r="AK24" s="885"/>
      <c r="AL24" s="886"/>
      <c r="AM24" s="885"/>
      <c r="AN24" s="886">
        <v>59497196</v>
      </c>
      <c r="AO24" s="885">
        <v>129082431</v>
      </c>
      <c r="AP24" s="886"/>
      <c r="AQ24" s="885"/>
      <c r="AR24" s="886">
        <v>2949671</v>
      </c>
      <c r="AS24" s="885">
        <v>3697558</v>
      </c>
      <c r="AT24" s="886"/>
      <c r="AU24" s="885"/>
      <c r="AV24" s="886">
        <f t="shared" si="0"/>
        <v>197703297</v>
      </c>
      <c r="AW24" s="885">
        <f t="shared" si="0"/>
        <v>384551641</v>
      </c>
      <c r="AX24" s="886"/>
      <c r="AY24" s="885"/>
      <c r="AZ24" s="886">
        <f t="shared" si="1"/>
        <v>197703297</v>
      </c>
      <c r="BA24" s="887">
        <f t="shared" si="1"/>
        <v>384551641</v>
      </c>
    </row>
    <row r="25" spans="1:53" ht="14.25">
      <c r="A25" s="317" t="s">
        <v>299</v>
      </c>
      <c r="B25" s="888"/>
      <c r="C25" s="889"/>
      <c r="D25" s="886"/>
      <c r="E25" s="885"/>
      <c r="F25" s="886"/>
      <c r="G25" s="885"/>
      <c r="H25" s="886"/>
      <c r="I25" s="885"/>
      <c r="J25" s="886"/>
      <c r="K25" s="885"/>
      <c r="L25" s="886">
        <v>953771</v>
      </c>
      <c r="M25" s="887">
        <v>798010</v>
      </c>
      <c r="N25" s="884"/>
      <c r="O25" s="887"/>
      <c r="P25" s="884"/>
      <c r="Q25" s="887"/>
      <c r="R25" s="884">
        <v>101568</v>
      </c>
      <c r="S25" s="887">
        <v>80209</v>
      </c>
      <c r="T25" s="884"/>
      <c r="U25" s="887"/>
      <c r="V25" s="884"/>
      <c r="W25" s="887"/>
      <c r="X25" s="884"/>
      <c r="Y25" s="885"/>
      <c r="Z25" s="886"/>
      <c r="AA25" s="885"/>
      <c r="AB25" s="886"/>
      <c r="AC25" s="887"/>
      <c r="AD25" s="884"/>
      <c r="AE25" s="885"/>
      <c r="AF25" s="886"/>
      <c r="AG25" s="885"/>
      <c r="AH25" s="886"/>
      <c r="AI25" s="887"/>
      <c r="AJ25" s="884"/>
      <c r="AK25" s="885"/>
      <c r="AL25" s="886"/>
      <c r="AM25" s="885"/>
      <c r="AN25" s="886"/>
      <c r="AO25" s="885"/>
      <c r="AP25" s="886"/>
      <c r="AQ25" s="885"/>
      <c r="AR25" s="886"/>
      <c r="AS25" s="885"/>
      <c r="AT25" s="886"/>
      <c r="AU25" s="885"/>
      <c r="AV25" s="886">
        <f t="shared" si="0"/>
        <v>1055339</v>
      </c>
      <c r="AW25" s="885">
        <f t="shared" si="0"/>
        <v>878219</v>
      </c>
      <c r="AX25" s="886"/>
      <c r="AY25" s="885"/>
      <c r="AZ25" s="886">
        <f t="shared" si="1"/>
        <v>1055339</v>
      </c>
      <c r="BA25" s="887">
        <f t="shared" si="1"/>
        <v>878219</v>
      </c>
    </row>
    <row r="26" spans="1:53" ht="14.25">
      <c r="A26" s="789" t="s">
        <v>300</v>
      </c>
      <c r="B26" s="888">
        <v>6366079</v>
      </c>
      <c r="C26" s="889">
        <v>8572147</v>
      </c>
      <c r="D26" s="886">
        <v>1041417</v>
      </c>
      <c r="E26" s="885">
        <v>1147641</v>
      </c>
      <c r="F26" s="886"/>
      <c r="G26" s="885"/>
      <c r="H26" s="886">
        <v>10619815</v>
      </c>
      <c r="I26" s="885">
        <v>16761646</v>
      </c>
      <c r="J26" s="886">
        <v>108180</v>
      </c>
      <c r="K26" s="885">
        <v>159011</v>
      </c>
      <c r="L26" s="886">
        <v>6637581</v>
      </c>
      <c r="M26" s="887">
        <v>7332586</v>
      </c>
      <c r="N26" s="884"/>
      <c r="O26" s="887"/>
      <c r="P26" s="884">
        <v>1066199</v>
      </c>
      <c r="Q26" s="887">
        <v>1654324</v>
      </c>
      <c r="R26" s="884">
        <f>1073915+597927</f>
        <v>1671842</v>
      </c>
      <c r="S26" s="887">
        <f>1249684+597406</f>
        <v>1847090</v>
      </c>
      <c r="T26" s="884"/>
      <c r="U26" s="887"/>
      <c r="V26" s="884">
        <v>34483182</v>
      </c>
      <c r="W26" s="887">
        <v>37957262</v>
      </c>
      <c r="X26" s="884">
        <v>90010566</v>
      </c>
      <c r="Y26" s="885">
        <v>109542250</v>
      </c>
      <c r="Z26" s="886">
        <v>1233281</v>
      </c>
      <c r="AA26" s="885">
        <v>1710861</v>
      </c>
      <c r="AB26" s="886">
        <v>2418611</v>
      </c>
      <c r="AC26" s="887">
        <v>3273061</v>
      </c>
      <c r="AD26" s="884">
        <v>3755983</v>
      </c>
      <c r="AE26" s="885">
        <v>5622000</v>
      </c>
      <c r="AF26" s="886"/>
      <c r="AG26" s="885">
        <v>26546380</v>
      </c>
      <c r="AH26" s="886">
        <v>6655202</v>
      </c>
      <c r="AI26" s="887">
        <v>5914833</v>
      </c>
      <c r="AJ26" s="884">
        <v>3780339</v>
      </c>
      <c r="AK26" s="885">
        <v>4184898</v>
      </c>
      <c r="AL26" s="886"/>
      <c r="AM26" s="885"/>
      <c r="AN26" s="886"/>
      <c r="AO26" s="885"/>
      <c r="AP26" s="886">
        <v>179095</v>
      </c>
      <c r="AQ26" s="885">
        <v>215406</v>
      </c>
      <c r="AR26" s="886"/>
      <c r="AS26" s="885"/>
      <c r="AT26" s="886"/>
      <c r="AU26" s="885"/>
      <c r="AV26" s="886">
        <f t="shared" si="0"/>
        <v>170027372</v>
      </c>
      <c r="AW26" s="885">
        <f t="shared" si="0"/>
        <v>232441396</v>
      </c>
      <c r="AX26" s="886">
        <v>298332</v>
      </c>
      <c r="AY26" s="885">
        <v>297729</v>
      </c>
      <c r="AZ26" s="886">
        <f t="shared" si="1"/>
        <v>170325704</v>
      </c>
      <c r="BA26" s="887">
        <f t="shared" si="1"/>
        <v>232739125</v>
      </c>
    </row>
    <row r="27" spans="1:53" ht="14.25">
      <c r="A27" s="317" t="s">
        <v>301</v>
      </c>
      <c r="B27" s="888"/>
      <c r="C27" s="889"/>
      <c r="D27" s="886"/>
      <c r="E27" s="885"/>
      <c r="F27" s="886"/>
      <c r="G27" s="885"/>
      <c r="H27" s="886"/>
      <c r="I27" s="885"/>
      <c r="J27" s="886"/>
      <c r="K27" s="885"/>
      <c r="L27" s="886"/>
      <c r="M27" s="887"/>
      <c r="N27" s="884"/>
      <c r="O27" s="887"/>
      <c r="P27" s="884"/>
      <c r="Q27" s="887"/>
      <c r="R27" s="884"/>
      <c r="S27" s="887"/>
      <c r="T27" s="884"/>
      <c r="U27" s="887"/>
      <c r="V27" s="884"/>
      <c r="W27" s="887"/>
      <c r="X27" s="884"/>
      <c r="Y27" s="885"/>
      <c r="Z27" s="886"/>
      <c r="AA27" s="885"/>
      <c r="AB27" s="886"/>
      <c r="AC27" s="887"/>
      <c r="AD27" s="884"/>
      <c r="AE27" s="885"/>
      <c r="AF27" s="886"/>
      <c r="AG27" s="885"/>
      <c r="AH27" s="886"/>
      <c r="AI27" s="887"/>
      <c r="AJ27" s="884"/>
      <c r="AK27" s="885"/>
      <c r="AL27" s="886"/>
      <c r="AM27" s="885"/>
      <c r="AN27" s="886">
        <v>48263883</v>
      </c>
      <c r="AO27" s="885">
        <v>68258453</v>
      </c>
      <c r="AP27" s="886"/>
      <c r="AQ27" s="885"/>
      <c r="AR27" s="886">
        <v>2464145</v>
      </c>
      <c r="AS27" s="885">
        <v>1919592</v>
      </c>
      <c r="AT27" s="886"/>
      <c r="AU27" s="885"/>
      <c r="AV27" s="886">
        <f t="shared" si="0"/>
        <v>50728028</v>
      </c>
      <c r="AW27" s="885">
        <f t="shared" si="0"/>
        <v>70178045</v>
      </c>
      <c r="AX27" s="886"/>
      <c r="AY27" s="885"/>
      <c r="AZ27" s="886">
        <f t="shared" si="1"/>
        <v>50728028</v>
      </c>
      <c r="BA27" s="887">
        <f t="shared" si="1"/>
        <v>70178045</v>
      </c>
    </row>
    <row r="28" spans="1:53" ht="14.25">
      <c r="A28" s="317" t="s">
        <v>302</v>
      </c>
      <c r="B28" s="888"/>
      <c r="C28" s="889"/>
      <c r="D28" s="886">
        <v>12860</v>
      </c>
      <c r="E28" s="885">
        <v>9291</v>
      </c>
      <c r="F28" s="886"/>
      <c r="G28" s="885"/>
      <c r="H28" s="886">
        <v>68100</v>
      </c>
      <c r="I28" s="885">
        <v>98396</v>
      </c>
      <c r="J28" s="886"/>
      <c r="K28" s="885"/>
      <c r="L28" s="886">
        <v>58565</v>
      </c>
      <c r="M28" s="887">
        <v>76289</v>
      </c>
      <c r="N28" s="884"/>
      <c r="O28" s="887"/>
      <c r="P28" s="884"/>
      <c r="Q28" s="887"/>
      <c r="R28" s="884"/>
      <c r="S28" s="887"/>
      <c r="T28" s="884"/>
      <c r="U28" s="887"/>
      <c r="V28" s="884">
        <v>113755</v>
      </c>
      <c r="W28" s="887">
        <v>163481</v>
      </c>
      <c r="X28" s="884"/>
      <c r="Y28" s="885"/>
      <c r="Z28" s="886"/>
      <c r="AA28" s="885"/>
      <c r="AB28" s="886"/>
      <c r="AC28" s="887"/>
      <c r="AD28" s="884"/>
      <c r="AE28" s="885"/>
      <c r="AF28" s="886"/>
      <c r="AG28" s="885"/>
      <c r="AH28" s="886"/>
      <c r="AI28" s="887"/>
      <c r="AJ28" s="884"/>
      <c r="AK28" s="885"/>
      <c r="AL28" s="886"/>
      <c r="AM28" s="885"/>
      <c r="AN28" s="886">
        <v>699233</v>
      </c>
      <c r="AO28" s="885">
        <v>1330762</v>
      </c>
      <c r="AP28" s="886"/>
      <c r="AQ28" s="885"/>
      <c r="AR28" s="886">
        <v>5690</v>
      </c>
      <c r="AS28" s="885">
        <v>659</v>
      </c>
      <c r="AT28" s="886"/>
      <c r="AU28" s="885"/>
      <c r="AV28" s="886">
        <f t="shared" si="0"/>
        <v>958203</v>
      </c>
      <c r="AW28" s="885">
        <f t="shared" si="0"/>
        <v>1678878</v>
      </c>
      <c r="AX28" s="886">
        <v>207458</v>
      </c>
      <c r="AY28" s="885">
        <v>183415</v>
      </c>
      <c r="AZ28" s="886">
        <f t="shared" si="1"/>
        <v>1165661</v>
      </c>
      <c r="BA28" s="887">
        <f t="shared" si="1"/>
        <v>1862293</v>
      </c>
    </row>
    <row r="29" spans="1:53" ht="14.25">
      <c r="A29" s="317" t="s">
        <v>303</v>
      </c>
      <c r="B29" s="888"/>
      <c r="C29" s="889"/>
      <c r="D29" s="886"/>
      <c r="E29" s="885"/>
      <c r="F29" s="886"/>
      <c r="G29" s="885"/>
      <c r="H29" s="886"/>
      <c r="I29" s="885">
        <v>-9182</v>
      </c>
      <c r="J29" s="886"/>
      <c r="K29" s="885"/>
      <c r="L29" s="886"/>
      <c r="M29" s="887"/>
      <c r="N29" s="884"/>
      <c r="O29" s="887"/>
      <c r="P29" s="884"/>
      <c r="Q29" s="887"/>
      <c r="R29" s="884"/>
      <c r="S29" s="887"/>
      <c r="T29" s="884"/>
      <c r="U29" s="887"/>
      <c r="V29" s="884"/>
      <c r="W29" s="887"/>
      <c r="X29" s="884"/>
      <c r="Y29" s="885"/>
      <c r="Z29" s="886"/>
      <c r="AA29" s="885"/>
      <c r="AB29" s="886"/>
      <c r="AC29" s="887"/>
      <c r="AD29" s="884"/>
      <c r="AE29" s="885"/>
      <c r="AF29" s="886"/>
      <c r="AG29" s="885"/>
      <c r="AH29" s="886"/>
      <c r="AI29" s="887"/>
      <c r="AJ29" s="884"/>
      <c r="AK29" s="885"/>
      <c r="AL29" s="886"/>
      <c r="AM29" s="885"/>
      <c r="AN29" s="886"/>
      <c r="AO29" s="885"/>
      <c r="AP29" s="886"/>
      <c r="AQ29" s="885"/>
      <c r="AR29" s="886"/>
      <c r="AS29" s="885"/>
      <c r="AT29" s="886"/>
      <c r="AU29" s="885"/>
      <c r="AV29" s="886">
        <f t="shared" si="0"/>
        <v>0</v>
      </c>
      <c r="AW29" s="885">
        <f t="shared" si="0"/>
        <v>-9182</v>
      </c>
      <c r="AX29" s="886"/>
      <c r="AY29" s="885"/>
      <c r="AZ29" s="886">
        <f t="shared" si="1"/>
        <v>0</v>
      </c>
      <c r="BA29" s="887">
        <f t="shared" si="1"/>
        <v>-9182</v>
      </c>
    </row>
    <row r="30" spans="1:53" ht="14.25">
      <c r="A30" s="317" t="s">
        <v>304</v>
      </c>
      <c r="B30" s="888"/>
      <c r="C30" s="889"/>
      <c r="D30" s="886"/>
      <c r="E30" s="885"/>
      <c r="F30" s="886"/>
      <c r="G30" s="885"/>
      <c r="H30" s="886"/>
      <c r="I30" s="885"/>
      <c r="J30" s="886"/>
      <c r="K30" s="885"/>
      <c r="L30" s="886"/>
      <c r="M30" s="887"/>
      <c r="N30" s="884"/>
      <c r="O30" s="887"/>
      <c r="P30" s="884"/>
      <c r="Q30" s="887"/>
      <c r="R30" s="884"/>
      <c r="S30" s="887"/>
      <c r="T30" s="884"/>
      <c r="U30" s="887"/>
      <c r="V30" s="884"/>
      <c r="W30" s="887"/>
      <c r="X30" s="884"/>
      <c r="Y30" s="885"/>
      <c r="Z30" s="886"/>
      <c r="AA30" s="885"/>
      <c r="AB30" s="886"/>
      <c r="AC30" s="887"/>
      <c r="AD30" s="884"/>
      <c r="AE30" s="885"/>
      <c r="AF30" s="886"/>
      <c r="AG30" s="885"/>
      <c r="AH30" s="886"/>
      <c r="AI30" s="887"/>
      <c r="AJ30" s="884"/>
      <c r="AK30" s="885"/>
      <c r="AL30" s="886"/>
      <c r="AM30" s="885"/>
      <c r="AN30" s="886"/>
      <c r="AO30" s="885"/>
      <c r="AP30" s="886"/>
      <c r="AQ30" s="885"/>
      <c r="AR30" s="886"/>
      <c r="AS30" s="885"/>
      <c r="AT30" s="886"/>
      <c r="AU30" s="885"/>
      <c r="AV30" s="886">
        <f t="shared" si="0"/>
        <v>0</v>
      </c>
      <c r="AW30" s="885">
        <f t="shared" si="0"/>
        <v>0</v>
      </c>
      <c r="AX30" s="886"/>
      <c r="AY30" s="885"/>
      <c r="AZ30" s="886">
        <f t="shared" si="1"/>
        <v>0</v>
      </c>
      <c r="BA30" s="887">
        <f t="shared" si="1"/>
        <v>0</v>
      </c>
    </row>
    <row r="31" spans="1:53" ht="14.25">
      <c r="A31" s="789" t="s">
        <v>305</v>
      </c>
      <c r="B31" s="888"/>
      <c r="C31" s="889"/>
      <c r="D31" s="886"/>
      <c r="E31" s="885"/>
      <c r="F31" s="886"/>
      <c r="G31" s="885"/>
      <c r="H31" s="886">
        <v>9747909</v>
      </c>
      <c r="I31" s="885">
        <v>11478922</v>
      </c>
      <c r="J31" s="886">
        <v>1165031</v>
      </c>
      <c r="K31" s="885">
        <v>1605018</v>
      </c>
      <c r="L31" s="886">
        <v>2303878</v>
      </c>
      <c r="M31" s="887">
        <v>2605565</v>
      </c>
      <c r="N31" s="884"/>
      <c r="O31" s="887">
        <v>116328</v>
      </c>
      <c r="P31" s="884">
        <v>46419</v>
      </c>
      <c r="Q31" s="887">
        <v>55708</v>
      </c>
      <c r="R31" s="884">
        <f>1415034+213272</f>
        <v>1628306</v>
      </c>
      <c r="S31" s="887">
        <f>3410880+339248</f>
        <v>3750128</v>
      </c>
      <c r="T31" s="884"/>
      <c r="U31" s="887"/>
      <c r="V31" s="884">
        <v>11986597</v>
      </c>
      <c r="W31" s="887">
        <v>8431788</v>
      </c>
      <c r="X31" s="884">
        <v>11922830</v>
      </c>
      <c r="Y31" s="885">
        <v>12982116</v>
      </c>
      <c r="Z31" s="886">
        <v>1242386</v>
      </c>
      <c r="AA31" s="885">
        <v>1774635</v>
      </c>
      <c r="AB31" s="886">
        <v>1004366</v>
      </c>
      <c r="AC31" s="887">
        <v>1297116</v>
      </c>
      <c r="AD31" s="884">
        <v>2761691</v>
      </c>
      <c r="AE31" s="885">
        <v>2501687</v>
      </c>
      <c r="AF31" s="886"/>
      <c r="AG31" s="885">
        <v>30962301</v>
      </c>
      <c r="AH31" s="886">
        <v>4387072</v>
      </c>
      <c r="AI31" s="887">
        <v>5971430</v>
      </c>
      <c r="AJ31" s="884">
        <v>3456894</v>
      </c>
      <c r="AK31" s="885">
        <v>3535563</v>
      </c>
      <c r="AL31" s="886"/>
      <c r="AM31" s="885"/>
      <c r="AN31" s="886">
        <v>9750207</v>
      </c>
      <c r="AO31" s="885">
        <v>15521071</v>
      </c>
      <c r="AP31" s="886">
        <v>320797</v>
      </c>
      <c r="AQ31" s="885">
        <v>754437</v>
      </c>
      <c r="AR31" s="886">
        <v>2127902</v>
      </c>
      <c r="AS31" s="885">
        <v>2360576</v>
      </c>
      <c r="AT31" s="886">
        <f>549156+26134</f>
        <v>575290</v>
      </c>
      <c r="AU31" s="885">
        <f>9771029+113763</f>
        <v>9884792</v>
      </c>
      <c r="AV31" s="886">
        <f t="shared" si="0"/>
        <v>64427575</v>
      </c>
      <c r="AW31" s="885">
        <f t="shared" si="0"/>
        <v>115589181</v>
      </c>
      <c r="AX31" s="886">
        <v>1729</v>
      </c>
      <c r="AY31" s="885">
        <v>2144</v>
      </c>
      <c r="AZ31" s="886">
        <f t="shared" si="1"/>
        <v>64429304</v>
      </c>
      <c r="BA31" s="887">
        <f t="shared" si="1"/>
        <v>115591325</v>
      </c>
    </row>
    <row r="32" spans="1:53" ht="14.25">
      <c r="A32" s="317" t="s">
        <v>227</v>
      </c>
      <c r="B32" s="888">
        <v>107995</v>
      </c>
      <c r="C32" s="889"/>
      <c r="D32" s="886"/>
      <c r="E32" s="885"/>
      <c r="F32" s="886"/>
      <c r="G32" s="885"/>
      <c r="H32" s="886"/>
      <c r="I32" s="885"/>
      <c r="J32" s="886"/>
      <c r="K32" s="885"/>
      <c r="L32" s="886"/>
      <c r="M32" s="887"/>
      <c r="N32" s="884"/>
      <c r="O32" s="887"/>
      <c r="P32" s="884"/>
      <c r="Q32" s="887"/>
      <c r="R32" s="884"/>
      <c r="S32" s="887"/>
      <c r="T32" s="884"/>
      <c r="U32" s="887"/>
      <c r="V32" s="884"/>
      <c r="W32" s="887"/>
      <c r="X32" s="884"/>
      <c r="Y32" s="885"/>
      <c r="Z32" s="886"/>
      <c r="AA32" s="885"/>
      <c r="AB32" s="886"/>
      <c r="AC32" s="887"/>
      <c r="AD32" s="884"/>
      <c r="AE32" s="885"/>
      <c r="AF32" s="886"/>
      <c r="AG32" s="885"/>
      <c r="AH32" s="886"/>
      <c r="AI32" s="887"/>
      <c r="AJ32" s="884"/>
      <c r="AK32" s="885"/>
      <c r="AL32" s="886"/>
      <c r="AM32" s="885"/>
      <c r="AN32" s="886"/>
      <c r="AO32" s="885"/>
      <c r="AP32" s="886"/>
      <c r="AQ32" s="885"/>
      <c r="AR32" s="886"/>
      <c r="AS32" s="885"/>
      <c r="AT32" s="886"/>
      <c r="AU32" s="885"/>
      <c r="AV32" s="886">
        <f t="shared" si="0"/>
        <v>107995</v>
      </c>
      <c r="AW32" s="885">
        <f t="shared" si="0"/>
        <v>0</v>
      </c>
      <c r="AX32" s="886"/>
      <c r="AY32" s="885"/>
      <c r="AZ32" s="886">
        <f t="shared" si="1"/>
        <v>107995</v>
      </c>
      <c r="BA32" s="887">
        <f t="shared" si="1"/>
        <v>0</v>
      </c>
    </row>
    <row r="33" spans="1:53" ht="14.25">
      <c r="A33" s="317" t="s">
        <v>293</v>
      </c>
      <c r="B33" s="888"/>
      <c r="C33" s="889"/>
      <c r="D33" s="886">
        <v>1474400</v>
      </c>
      <c r="E33" s="885">
        <v>1783345</v>
      </c>
      <c r="F33" s="886"/>
      <c r="G33" s="885"/>
      <c r="H33" s="886"/>
      <c r="I33" s="885"/>
      <c r="J33" s="886"/>
      <c r="K33" s="885"/>
      <c r="L33" s="886"/>
      <c r="M33" s="887"/>
      <c r="N33" s="884"/>
      <c r="O33" s="887"/>
      <c r="P33" s="884"/>
      <c r="Q33" s="887"/>
      <c r="R33" s="884"/>
      <c r="S33" s="887"/>
      <c r="T33" s="884"/>
      <c r="U33" s="887"/>
      <c r="V33" s="884"/>
      <c r="W33" s="887"/>
      <c r="X33" s="884"/>
      <c r="Y33" s="885"/>
      <c r="Z33" s="886"/>
      <c r="AA33" s="885"/>
      <c r="AB33" s="886"/>
      <c r="AC33" s="887"/>
      <c r="AD33" s="884"/>
      <c r="AE33" s="885"/>
      <c r="AF33" s="886"/>
      <c r="AG33" s="885"/>
      <c r="AH33" s="886"/>
      <c r="AI33" s="887"/>
      <c r="AJ33" s="884"/>
      <c r="AK33" s="885"/>
      <c r="AL33" s="886"/>
      <c r="AM33" s="885"/>
      <c r="AN33" s="886"/>
      <c r="AO33" s="885"/>
      <c r="AP33" s="886"/>
      <c r="AQ33" s="885"/>
      <c r="AR33" s="886"/>
      <c r="AS33" s="885"/>
      <c r="AT33" s="886"/>
      <c r="AU33" s="885"/>
      <c r="AV33" s="886">
        <f t="shared" si="0"/>
        <v>1474400</v>
      </c>
      <c r="AW33" s="885">
        <f t="shared" si="0"/>
        <v>1783345</v>
      </c>
      <c r="AX33" s="886"/>
      <c r="AY33" s="885"/>
      <c r="AZ33" s="886">
        <f t="shared" si="1"/>
        <v>1474400</v>
      </c>
      <c r="BA33" s="887">
        <f t="shared" si="1"/>
        <v>1783345</v>
      </c>
    </row>
    <row r="34" spans="1:53" ht="14.25">
      <c r="A34" s="317" t="s">
        <v>75</v>
      </c>
      <c r="B34" s="888"/>
      <c r="C34" s="889"/>
      <c r="D34" s="886"/>
      <c r="E34" s="885"/>
      <c r="F34" s="886"/>
      <c r="G34" s="885"/>
      <c r="H34" s="886"/>
      <c r="I34" s="885"/>
      <c r="J34" s="886"/>
      <c r="K34" s="885"/>
      <c r="L34" s="886"/>
      <c r="M34" s="887"/>
      <c r="N34" s="884"/>
      <c r="O34" s="887"/>
      <c r="P34" s="884">
        <v>5733</v>
      </c>
      <c r="Q34" s="887">
        <v>41598</v>
      </c>
      <c r="R34" s="884"/>
      <c r="S34" s="887"/>
      <c r="T34" s="884"/>
      <c r="U34" s="887"/>
      <c r="V34" s="884"/>
      <c r="W34" s="887"/>
      <c r="X34" s="884"/>
      <c r="Y34" s="885"/>
      <c r="Z34" s="886"/>
      <c r="AA34" s="885"/>
      <c r="AB34" s="886"/>
      <c r="AC34" s="887"/>
      <c r="AD34" s="884">
        <v>4321822</v>
      </c>
      <c r="AE34" s="885">
        <v>4325755</v>
      </c>
      <c r="AF34" s="886"/>
      <c r="AG34" s="898">
        <v>-2919434</v>
      </c>
      <c r="AH34" s="886"/>
      <c r="AI34" s="887"/>
      <c r="AJ34" s="884">
        <v>14945</v>
      </c>
      <c r="AK34" s="885">
        <v>60324</v>
      </c>
      <c r="AL34" s="886"/>
      <c r="AM34" s="885"/>
      <c r="AN34" s="886"/>
      <c r="AO34" s="885"/>
      <c r="AP34" s="886"/>
      <c r="AQ34" s="885"/>
      <c r="AR34" s="886"/>
      <c r="AS34" s="885">
        <v>605676</v>
      </c>
      <c r="AT34" s="886"/>
      <c r="AU34" s="885"/>
      <c r="AV34" s="886">
        <f t="shared" si="0"/>
        <v>4342500</v>
      </c>
      <c r="AW34" s="885">
        <f t="shared" si="0"/>
        <v>2113919</v>
      </c>
      <c r="AX34" s="886"/>
      <c r="AY34" s="885"/>
      <c r="AZ34" s="886">
        <f t="shared" si="1"/>
        <v>4342500</v>
      </c>
      <c r="BA34" s="887">
        <f t="shared" si="1"/>
        <v>2113919</v>
      </c>
    </row>
    <row r="35" spans="1:53" s="61" customFormat="1" ht="13.5">
      <c r="A35" s="789" t="s">
        <v>306</v>
      </c>
      <c r="B35" s="891">
        <v>435039444</v>
      </c>
      <c r="C35" s="892">
        <v>513129694</v>
      </c>
      <c r="D35" s="895">
        <v>47358009</v>
      </c>
      <c r="E35" s="898">
        <v>42928526</v>
      </c>
      <c r="F35" s="895"/>
      <c r="G35" s="898"/>
      <c r="H35" s="895">
        <v>611561091</v>
      </c>
      <c r="I35" s="898">
        <v>712284489</v>
      </c>
      <c r="J35" s="895">
        <v>95438154</v>
      </c>
      <c r="K35" s="898">
        <v>116820398</v>
      </c>
      <c r="L35" s="895">
        <v>167459649</v>
      </c>
      <c r="M35" s="896">
        <v>207349523</v>
      </c>
      <c r="N35" s="897">
        <v>52042553</v>
      </c>
      <c r="O35" s="896">
        <v>57915374</v>
      </c>
      <c r="P35" s="897">
        <v>46218427</v>
      </c>
      <c r="Q35" s="896">
        <v>56651490</v>
      </c>
      <c r="R35" s="897">
        <v>166039599</v>
      </c>
      <c r="S35" s="896">
        <v>185048792</v>
      </c>
      <c r="T35" s="897">
        <v>60106907</v>
      </c>
      <c r="U35" s="896">
        <v>67562436</v>
      </c>
      <c r="V35" s="897">
        <v>1355944613</v>
      </c>
      <c r="W35" s="896">
        <v>1651883810</v>
      </c>
      <c r="X35" s="897">
        <v>1713693697</v>
      </c>
      <c r="Y35" s="898">
        <v>2043347979</v>
      </c>
      <c r="Z35" s="895">
        <v>101784546</v>
      </c>
      <c r="AA35" s="898">
        <v>117131658</v>
      </c>
      <c r="AB35" s="895">
        <v>153036988</v>
      </c>
      <c r="AC35" s="896">
        <v>164561248</v>
      </c>
      <c r="AD35" s="897">
        <v>350688142</v>
      </c>
      <c r="AE35" s="898">
        <v>425241627</v>
      </c>
      <c r="AF35" s="895"/>
      <c r="AG35" s="898">
        <v>855449169</v>
      </c>
      <c r="AH35" s="895">
        <v>235251721</v>
      </c>
      <c r="AI35" s="896">
        <v>276523463</v>
      </c>
      <c r="AJ35" s="897">
        <v>217412400</v>
      </c>
      <c r="AK35" s="898">
        <v>240454211</v>
      </c>
      <c r="AL35" s="895"/>
      <c r="AM35" s="898"/>
      <c r="AN35" s="895">
        <v>1657998310</v>
      </c>
      <c r="AO35" s="898">
        <v>2112421868</v>
      </c>
      <c r="AP35" s="895">
        <v>49811253</v>
      </c>
      <c r="AQ35" s="898">
        <v>61951934</v>
      </c>
      <c r="AR35" s="895">
        <v>95170401</v>
      </c>
      <c r="AS35" s="898">
        <v>113581199</v>
      </c>
      <c r="AT35" s="895">
        <v>330658776</v>
      </c>
      <c r="AU35" s="898">
        <v>435702344</v>
      </c>
      <c r="AV35" s="895">
        <f t="shared" si="0"/>
        <v>7942714680</v>
      </c>
      <c r="AW35" s="898">
        <f t="shared" si="0"/>
        <v>10457941232</v>
      </c>
      <c r="AX35" s="895">
        <v>32553920442</v>
      </c>
      <c r="AY35" s="898">
        <v>35994139934</v>
      </c>
      <c r="AZ35" s="895">
        <f t="shared" si="1"/>
        <v>40496635122</v>
      </c>
      <c r="BA35" s="896">
        <f t="shared" si="1"/>
        <v>46452081166</v>
      </c>
    </row>
    <row r="36" spans="1:53" ht="14.25">
      <c r="A36" s="789" t="s">
        <v>307</v>
      </c>
      <c r="B36" s="888"/>
      <c r="C36" s="889"/>
      <c r="D36" s="886"/>
      <c r="E36" s="885"/>
      <c r="F36" s="886"/>
      <c r="G36" s="885"/>
      <c r="H36" s="886"/>
      <c r="I36" s="885"/>
      <c r="J36" s="886"/>
      <c r="K36" s="885"/>
      <c r="L36" s="886"/>
      <c r="M36" s="887"/>
      <c r="N36" s="884"/>
      <c r="O36" s="887"/>
      <c r="P36" s="884"/>
      <c r="Q36" s="887"/>
      <c r="R36" s="884"/>
      <c r="S36" s="887"/>
      <c r="T36" s="884"/>
      <c r="U36" s="887"/>
      <c r="V36" s="884"/>
      <c r="W36" s="887"/>
      <c r="X36" s="884"/>
      <c r="Y36" s="885"/>
      <c r="Z36" s="886"/>
      <c r="AA36" s="885"/>
      <c r="AB36" s="886"/>
      <c r="AC36" s="887"/>
      <c r="AD36" s="884"/>
      <c r="AE36" s="885"/>
      <c r="AF36" s="886"/>
      <c r="AG36" s="885"/>
      <c r="AH36" s="886"/>
      <c r="AI36" s="887"/>
      <c r="AJ36" s="884"/>
      <c r="AK36" s="885"/>
      <c r="AL36" s="886"/>
      <c r="AM36" s="885"/>
      <c r="AN36" s="886"/>
      <c r="AO36" s="885"/>
      <c r="AP36" s="886"/>
      <c r="AQ36" s="885"/>
      <c r="AR36" s="886"/>
      <c r="AS36" s="885"/>
      <c r="AT36" s="886"/>
      <c r="AU36" s="885"/>
      <c r="AV36" s="886">
        <f t="shared" si="0"/>
        <v>0</v>
      </c>
      <c r="AW36" s="885">
        <f t="shared" si="0"/>
        <v>0</v>
      </c>
      <c r="AX36" s="886"/>
      <c r="AY36" s="885"/>
      <c r="AZ36" s="886">
        <f t="shared" si="1"/>
        <v>0</v>
      </c>
      <c r="BA36" s="887">
        <f t="shared" si="1"/>
        <v>0</v>
      </c>
    </row>
    <row r="37" spans="1:53" ht="14.25">
      <c r="A37" s="789" t="s">
        <v>308</v>
      </c>
      <c r="B37" s="888"/>
      <c r="C37" s="889"/>
      <c r="D37" s="886"/>
      <c r="E37" s="885"/>
      <c r="F37" s="886"/>
      <c r="G37" s="885"/>
      <c r="H37" s="886"/>
      <c r="I37" s="885"/>
      <c r="J37" s="886"/>
      <c r="K37" s="885"/>
      <c r="L37" s="886"/>
      <c r="M37" s="887"/>
      <c r="N37" s="884"/>
      <c r="O37" s="887"/>
      <c r="P37" s="884"/>
      <c r="Q37" s="887"/>
      <c r="R37" s="884"/>
      <c r="S37" s="887"/>
      <c r="T37" s="884"/>
      <c r="U37" s="887"/>
      <c r="V37" s="884"/>
      <c r="W37" s="887"/>
      <c r="X37" s="884"/>
      <c r="Y37" s="885"/>
      <c r="Z37" s="886"/>
      <c r="AA37" s="885"/>
      <c r="AB37" s="886"/>
      <c r="AC37" s="887"/>
      <c r="AD37" s="884"/>
      <c r="AE37" s="885"/>
      <c r="AF37" s="886"/>
      <c r="AG37" s="885"/>
      <c r="AH37" s="886"/>
      <c r="AI37" s="887"/>
      <c r="AJ37" s="884"/>
      <c r="AK37" s="885"/>
      <c r="AL37" s="886"/>
      <c r="AM37" s="885"/>
      <c r="AN37" s="886"/>
      <c r="AO37" s="885"/>
      <c r="AP37" s="886"/>
      <c r="AQ37" s="885"/>
      <c r="AR37" s="886"/>
      <c r="AS37" s="885"/>
      <c r="AT37" s="886"/>
      <c r="AU37" s="885"/>
      <c r="AV37" s="886">
        <f t="shared" si="0"/>
        <v>0</v>
      </c>
      <c r="AW37" s="885">
        <f t="shared" si="0"/>
        <v>0</v>
      </c>
      <c r="AX37" s="886"/>
      <c r="AY37" s="885"/>
      <c r="AZ37" s="886">
        <f t="shared" si="1"/>
        <v>0</v>
      </c>
      <c r="BA37" s="887">
        <f t="shared" si="1"/>
        <v>0</v>
      </c>
    </row>
    <row r="38" spans="1:53" ht="14.25">
      <c r="A38" s="317" t="s">
        <v>309</v>
      </c>
      <c r="B38" s="888">
        <v>23062228</v>
      </c>
      <c r="C38" s="889">
        <v>22092912</v>
      </c>
      <c r="D38" s="886">
        <v>865671</v>
      </c>
      <c r="E38" s="885">
        <v>908375</v>
      </c>
      <c r="F38" s="886"/>
      <c r="G38" s="885"/>
      <c r="H38" s="886">
        <v>92377031</v>
      </c>
      <c r="I38" s="885">
        <v>99158353</v>
      </c>
      <c r="J38" s="886">
        <v>3677951</v>
      </c>
      <c r="K38" s="885">
        <v>4693497</v>
      </c>
      <c r="L38" s="886">
        <v>10952088</v>
      </c>
      <c r="M38" s="887">
        <v>11789062</v>
      </c>
      <c r="N38" s="884">
        <v>7686626</v>
      </c>
      <c r="O38" s="887">
        <v>8235296</v>
      </c>
      <c r="P38" s="884">
        <v>5116554</v>
      </c>
      <c r="Q38" s="887">
        <v>2888813</v>
      </c>
      <c r="R38" s="884">
        <v>10452628</v>
      </c>
      <c r="S38" s="887">
        <v>11268304</v>
      </c>
      <c r="T38" s="884">
        <v>2325785</v>
      </c>
      <c r="U38" s="887">
        <v>2316218</v>
      </c>
      <c r="V38" s="884">
        <v>60440533</v>
      </c>
      <c r="W38" s="887">
        <v>82098623</v>
      </c>
      <c r="X38" s="884">
        <v>78561844</v>
      </c>
      <c r="Y38" s="885">
        <v>96237454</v>
      </c>
      <c r="Z38" s="886">
        <v>6206764</v>
      </c>
      <c r="AA38" s="885">
        <v>7267823</v>
      </c>
      <c r="AB38" s="886">
        <v>6288369</v>
      </c>
      <c r="AC38" s="887">
        <v>6451184</v>
      </c>
      <c r="AD38" s="884">
        <v>28548338</v>
      </c>
      <c r="AE38" s="885">
        <v>34733588</v>
      </c>
      <c r="AF38" s="886"/>
      <c r="AG38" s="885">
        <v>35834962</v>
      </c>
      <c r="AH38" s="886">
        <v>12032235</v>
      </c>
      <c r="AI38" s="887">
        <v>13240322</v>
      </c>
      <c r="AJ38" s="884">
        <v>12205873</v>
      </c>
      <c r="AK38" s="885">
        <v>12301477</v>
      </c>
      <c r="AL38" s="886"/>
      <c r="AM38" s="885"/>
      <c r="AN38" s="886">
        <v>69929372</v>
      </c>
      <c r="AO38" s="885">
        <v>86836985</v>
      </c>
      <c r="AP38" s="886">
        <v>5683928</v>
      </c>
      <c r="AQ38" s="885">
        <v>6225558</v>
      </c>
      <c r="AR38" s="886">
        <v>5354020</v>
      </c>
      <c r="AS38" s="885">
        <v>5834377</v>
      </c>
      <c r="AT38" s="886">
        <v>18825177</v>
      </c>
      <c r="AU38" s="885">
        <v>21251496</v>
      </c>
      <c r="AV38" s="886">
        <f t="shared" si="0"/>
        <v>460593015</v>
      </c>
      <c r="AW38" s="885">
        <f t="shared" si="0"/>
        <v>571664679</v>
      </c>
      <c r="AX38" s="886">
        <v>6489457</v>
      </c>
      <c r="AY38" s="885">
        <v>7139016</v>
      </c>
      <c r="AZ38" s="886">
        <f t="shared" si="1"/>
        <v>467082472</v>
      </c>
      <c r="BA38" s="887">
        <f t="shared" si="1"/>
        <v>578803695</v>
      </c>
    </row>
    <row r="39" spans="1:53" ht="14.25">
      <c r="A39" s="317" t="s">
        <v>310</v>
      </c>
      <c r="B39" s="888">
        <v>151032258</v>
      </c>
      <c r="C39" s="889">
        <v>207134186</v>
      </c>
      <c r="D39" s="886">
        <v>16130374</v>
      </c>
      <c r="E39" s="885">
        <v>19200218</v>
      </c>
      <c r="F39" s="886"/>
      <c r="G39" s="885"/>
      <c r="H39" s="886">
        <v>277682835</v>
      </c>
      <c r="I39" s="885">
        <v>327571449</v>
      </c>
      <c r="J39" s="886">
        <v>53278777</v>
      </c>
      <c r="K39" s="885">
        <v>69037541</v>
      </c>
      <c r="L39" s="886">
        <v>56098133</v>
      </c>
      <c r="M39" s="887">
        <v>81080412</v>
      </c>
      <c r="N39" s="884">
        <v>36624910</v>
      </c>
      <c r="O39" s="887">
        <v>42103086</v>
      </c>
      <c r="P39" s="884">
        <v>18302020</v>
      </c>
      <c r="Q39" s="887">
        <v>24174625</v>
      </c>
      <c r="R39" s="884">
        <v>120320807</v>
      </c>
      <c r="S39" s="887">
        <v>138437325</v>
      </c>
      <c r="T39" s="884">
        <v>33179044</v>
      </c>
      <c r="U39" s="887">
        <v>38397103</v>
      </c>
      <c r="V39" s="884">
        <v>655948451</v>
      </c>
      <c r="W39" s="887">
        <v>841129842</v>
      </c>
      <c r="X39" s="884">
        <v>464862492</v>
      </c>
      <c r="Y39" s="885">
        <v>588763821</v>
      </c>
      <c r="Z39" s="886">
        <v>61224122</v>
      </c>
      <c r="AA39" s="885">
        <v>70007486</v>
      </c>
      <c r="AB39" s="886">
        <v>95836120</v>
      </c>
      <c r="AC39" s="887">
        <v>98836799</v>
      </c>
      <c r="AD39" s="884">
        <v>173125305</v>
      </c>
      <c r="AE39" s="885">
        <v>217653780</v>
      </c>
      <c r="AF39" s="886"/>
      <c r="AG39" s="885">
        <v>549756021</v>
      </c>
      <c r="AH39" s="886">
        <v>150962035</v>
      </c>
      <c r="AI39" s="887">
        <v>188270390</v>
      </c>
      <c r="AJ39" s="884">
        <v>143701863</v>
      </c>
      <c r="AK39" s="885">
        <v>164538481</v>
      </c>
      <c r="AL39" s="886"/>
      <c r="AM39" s="885"/>
      <c r="AN39" s="886">
        <v>734113759</v>
      </c>
      <c r="AO39" s="885">
        <v>889527676</v>
      </c>
      <c r="AP39" s="886">
        <v>36200958</v>
      </c>
      <c r="AQ39" s="885">
        <v>47368912</v>
      </c>
      <c r="AR39" s="886">
        <v>61451348</v>
      </c>
      <c r="AS39" s="885">
        <v>80097414</v>
      </c>
      <c r="AT39" s="886">
        <v>192473994</v>
      </c>
      <c r="AU39" s="885">
        <v>257959599</v>
      </c>
      <c r="AV39" s="886">
        <f t="shared" si="0"/>
        <v>3532549605</v>
      </c>
      <c r="AW39" s="885">
        <f t="shared" si="0"/>
        <v>4941046166</v>
      </c>
      <c r="AX39" s="886">
        <v>30242916677</v>
      </c>
      <c r="AY39" s="885">
        <v>33737013104</v>
      </c>
      <c r="AZ39" s="886">
        <f t="shared" si="1"/>
        <v>33775466282</v>
      </c>
      <c r="BA39" s="887">
        <f t="shared" si="1"/>
        <v>38678059270</v>
      </c>
    </row>
    <row r="40" spans="1:53" ht="14.25">
      <c r="A40" s="317" t="s">
        <v>311</v>
      </c>
      <c r="B40" s="888">
        <v>253812915</v>
      </c>
      <c r="C40" s="889">
        <v>277554961</v>
      </c>
      <c r="D40" s="886">
        <v>9389416</v>
      </c>
      <c r="E40" s="885">
        <v>10235456</v>
      </c>
      <c r="F40" s="886"/>
      <c r="G40" s="885"/>
      <c r="H40" s="886">
        <v>232618887</v>
      </c>
      <c r="I40" s="885">
        <v>272723642</v>
      </c>
      <c r="J40" s="886">
        <v>10874278</v>
      </c>
      <c r="K40" s="885">
        <v>13432530</v>
      </c>
      <c r="L40" s="886">
        <v>98597057</v>
      </c>
      <c r="M40" s="887">
        <v>112994276</v>
      </c>
      <c r="N40" s="884">
        <v>3752691</v>
      </c>
      <c r="O40" s="887">
        <v>4041948</v>
      </c>
      <c r="P40" s="884">
        <v>8160720</v>
      </c>
      <c r="Q40" s="887">
        <v>12088071</v>
      </c>
      <c r="R40" s="884">
        <v>19871449</v>
      </c>
      <c r="S40" s="887">
        <v>21067154</v>
      </c>
      <c r="T40" s="884">
        <v>6183687</v>
      </c>
      <c r="U40" s="887">
        <v>6703634</v>
      </c>
      <c r="V40" s="884">
        <v>648116950</v>
      </c>
      <c r="W40" s="887">
        <v>733006199</v>
      </c>
      <c r="X40" s="884">
        <v>1162007297</v>
      </c>
      <c r="Y40" s="885">
        <v>1344447111</v>
      </c>
      <c r="Z40" s="886">
        <v>29558307</v>
      </c>
      <c r="AA40" s="885">
        <v>33167151</v>
      </c>
      <c r="AB40" s="886">
        <v>46118773</v>
      </c>
      <c r="AC40" s="887">
        <v>54616373</v>
      </c>
      <c r="AD40" s="884">
        <v>152714090</v>
      </c>
      <c r="AE40" s="885">
        <v>179076422</v>
      </c>
      <c r="AF40" s="886"/>
      <c r="AG40" s="885">
        <v>261652829</v>
      </c>
      <c r="AH40" s="886">
        <v>63085969</v>
      </c>
      <c r="AI40" s="887">
        <v>66681125</v>
      </c>
      <c r="AJ40" s="884">
        <v>56751629</v>
      </c>
      <c r="AK40" s="885">
        <v>58301302</v>
      </c>
      <c r="AL40" s="886"/>
      <c r="AM40" s="885"/>
      <c r="AN40" s="886">
        <v>820644903</v>
      </c>
      <c r="AO40" s="885">
        <v>1094484822</v>
      </c>
      <c r="AP40" s="886">
        <v>5078007</v>
      </c>
      <c r="AQ40" s="885">
        <v>5278226</v>
      </c>
      <c r="AR40" s="886">
        <v>25332359</v>
      </c>
      <c r="AS40" s="885">
        <v>25583789</v>
      </c>
      <c r="AT40" s="886">
        <v>113481008</v>
      </c>
      <c r="AU40" s="885">
        <v>148676297</v>
      </c>
      <c r="AV40" s="886">
        <f t="shared" si="0"/>
        <v>3766150392</v>
      </c>
      <c r="AW40" s="885">
        <f t="shared" si="0"/>
        <v>4735813318</v>
      </c>
      <c r="AX40" s="886">
        <v>378593520</v>
      </c>
      <c r="AY40" s="885">
        <v>356346495</v>
      </c>
      <c r="AZ40" s="886">
        <f t="shared" si="1"/>
        <v>4144743912</v>
      </c>
      <c r="BA40" s="887">
        <f t="shared" si="1"/>
        <v>5092159813</v>
      </c>
    </row>
    <row r="41" spans="1:53" ht="14.25">
      <c r="A41" s="317" t="s">
        <v>312</v>
      </c>
      <c r="B41" s="888">
        <v>1513271</v>
      </c>
      <c r="C41" s="889">
        <v>1997592</v>
      </c>
      <c r="D41" s="886">
        <v>673945</v>
      </c>
      <c r="E41" s="885">
        <v>698029</v>
      </c>
      <c r="F41" s="886"/>
      <c r="G41" s="885"/>
      <c r="H41" s="886">
        <v>3900498</v>
      </c>
      <c r="I41" s="885">
        <v>4571926</v>
      </c>
      <c r="J41" s="886">
        <v>162449</v>
      </c>
      <c r="K41" s="885">
        <v>237765</v>
      </c>
      <c r="L41" s="886">
        <v>8203</v>
      </c>
      <c r="M41" s="887">
        <v>27759</v>
      </c>
      <c r="N41" s="884">
        <v>326001</v>
      </c>
      <c r="O41" s="887">
        <v>552417</v>
      </c>
      <c r="P41" s="884">
        <v>82857</v>
      </c>
      <c r="Q41" s="887">
        <v>138174</v>
      </c>
      <c r="R41" s="884">
        <v>4338488</v>
      </c>
      <c r="S41" s="887">
        <v>5089920</v>
      </c>
      <c r="T41" s="884">
        <v>140537</v>
      </c>
      <c r="U41" s="887">
        <v>225959</v>
      </c>
      <c r="V41" s="884">
        <v>2576133</v>
      </c>
      <c r="W41" s="887">
        <v>3758853</v>
      </c>
      <c r="X41" s="884">
        <v>4095870</v>
      </c>
      <c r="Y41" s="885">
        <v>5915510</v>
      </c>
      <c r="Z41" s="886">
        <v>71476</v>
      </c>
      <c r="AA41" s="885">
        <v>85789</v>
      </c>
      <c r="AB41" s="886">
        <v>85853</v>
      </c>
      <c r="AC41" s="887">
        <v>126607</v>
      </c>
      <c r="AD41" s="884">
        <v>859538</v>
      </c>
      <c r="AE41" s="885">
        <v>966324</v>
      </c>
      <c r="AF41" s="886"/>
      <c r="AG41" s="885">
        <v>5037466</v>
      </c>
      <c r="AH41" s="886">
        <v>537250</v>
      </c>
      <c r="AI41" s="887">
        <v>743108</v>
      </c>
      <c r="AJ41" s="884">
        <v>450279</v>
      </c>
      <c r="AK41" s="885">
        <v>592134</v>
      </c>
      <c r="AL41" s="886"/>
      <c r="AM41" s="885"/>
      <c r="AN41" s="886">
        <v>3693483</v>
      </c>
      <c r="AO41" s="885">
        <v>3321278</v>
      </c>
      <c r="AP41" s="886">
        <v>379677</v>
      </c>
      <c r="AQ41" s="885">
        <v>574290</v>
      </c>
      <c r="AR41" s="886">
        <v>98618</v>
      </c>
      <c r="AS41" s="885">
        <v>114022</v>
      </c>
      <c r="AT41" s="886">
        <v>3986908</v>
      </c>
      <c r="AU41" s="885">
        <v>4684441</v>
      </c>
      <c r="AV41" s="886">
        <f t="shared" si="0"/>
        <v>27981334</v>
      </c>
      <c r="AW41" s="885">
        <f t="shared" si="0"/>
        <v>39459363</v>
      </c>
      <c r="AX41" s="886">
        <v>1074257374</v>
      </c>
      <c r="AY41" s="885">
        <v>1074229018</v>
      </c>
      <c r="AZ41" s="886">
        <f t="shared" si="1"/>
        <v>1102238708</v>
      </c>
      <c r="BA41" s="887">
        <f t="shared" si="1"/>
        <v>1113688381</v>
      </c>
    </row>
    <row r="42" spans="1:53" ht="14.25">
      <c r="A42" s="317" t="s">
        <v>313</v>
      </c>
      <c r="B42" s="888">
        <v>909701</v>
      </c>
      <c r="C42" s="889">
        <v>902283</v>
      </c>
      <c r="D42" s="886">
        <v>684315</v>
      </c>
      <c r="E42" s="885">
        <v>943918</v>
      </c>
      <c r="F42" s="886"/>
      <c r="G42" s="885"/>
      <c r="H42" s="886">
        <v>3353070</v>
      </c>
      <c r="I42" s="885">
        <v>3623291</v>
      </c>
      <c r="J42" s="886">
        <v>223813</v>
      </c>
      <c r="K42" s="885">
        <v>199038</v>
      </c>
      <c r="L42" s="886">
        <v>253975</v>
      </c>
      <c r="M42" s="887">
        <v>411943</v>
      </c>
      <c r="N42" s="884">
        <v>420893</v>
      </c>
      <c r="O42" s="887">
        <v>268293</v>
      </c>
      <c r="P42" s="884">
        <v>1062095</v>
      </c>
      <c r="Q42" s="887">
        <v>954388</v>
      </c>
      <c r="R42" s="884">
        <v>362893</v>
      </c>
      <c r="S42" s="887">
        <v>332134</v>
      </c>
      <c r="T42" s="884">
        <v>657476</v>
      </c>
      <c r="U42" s="887">
        <v>822757</v>
      </c>
      <c r="V42" s="884">
        <v>3350048</v>
      </c>
      <c r="W42" s="887">
        <v>3302640</v>
      </c>
      <c r="X42" s="884">
        <v>4672475</v>
      </c>
      <c r="Y42" s="885">
        <v>5424211</v>
      </c>
      <c r="Z42" s="886">
        <v>1356378</v>
      </c>
      <c r="AA42" s="885">
        <v>1293217</v>
      </c>
      <c r="AB42" s="886">
        <v>425345</v>
      </c>
      <c r="AC42" s="887">
        <v>305944</v>
      </c>
      <c r="AD42" s="884">
        <v>794962</v>
      </c>
      <c r="AE42" s="885">
        <v>786824</v>
      </c>
      <c r="AF42" s="886"/>
      <c r="AG42" s="885">
        <v>2127170</v>
      </c>
      <c r="AH42" s="886">
        <v>1044939</v>
      </c>
      <c r="AI42" s="887">
        <v>1275536</v>
      </c>
      <c r="AJ42" s="884">
        <v>471157</v>
      </c>
      <c r="AK42" s="885">
        <v>543889</v>
      </c>
      <c r="AL42" s="886"/>
      <c r="AM42" s="885"/>
      <c r="AN42" s="886">
        <v>5867453</v>
      </c>
      <c r="AO42" s="885">
        <v>5640907</v>
      </c>
      <c r="AP42" s="886">
        <v>667419</v>
      </c>
      <c r="AQ42" s="885">
        <v>654446</v>
      </c>
      <c r="AR42" s="886">
        <v>217173</v>
      </c>
      <c r="AS42" s="885">
        <v>253405</v>
      </c>
      <c r="AT42" s="886">
        <v>1996762</v>
      </c>
      <c r="AU42" s="885">
        <v>1901947</v>
      </c>
      <c r="AV42" s="886">
        <f t="shared" si="0"/>
        <v>28792342</v>
      </c>
      <c r="AW42" s="885">
        <f t="shared" si="0"/>
        <v>31968181</v>
      </c>
      <c r="AX42" s="886">
        <v>30138724</v>
      </c>
      <c r="AY42" s="885">
        <v>29765776</v>
      </c>
      <c r="AZ42" s="886">
        <f t="shared" si="1"/>
        <v>58931066</v>
      </c>
      <c r="BA42" s="887">
        <f t="shared" si="1"/>
        <v>61733957</v>
      </c>
    </row>
    <row r="43" spans="1:53" ht="14.25">
      <c r="A43" s="789" t="s">
        <v>314</v>
      </c>
      <c r="B43" s="888"/>
      <c r="C43" s="889"/>
      <c r="D43" s="886"/>
      <c r="E43" s="885"/>
      <c r="F43" s="886"/>
      <c r="G43" s="885"/>
      <c r="H43" s="886"/>
      <c r="I43" s="885"/>
      <c r="J43" s="886"/>
      <c r="K43" s="885"/>
      <c r="L43" s="886"/>
      <c r="M43" s="887"/>
      <c r="N43" s="884"/>
      <c r="O43" s="887"/>
      <c r="P43" s="884"/>
      <c r="Q43" s="887"/>
      <c r="R43" s="884"/>
      <c r="S43" s="887"/>
      <c r="T43" s="884"/>
      <c r="U43" s="887"/>
      <c r="V43" s="884"/>
      <c r="W43" s="887"/>
      <c r="X43" s="884"/>
      <c r="Y43" s="885"/>
      <c r="Z43" s="886"/>
      <c r="AA43" s="885"/>
      <c r="AB43" s="886"/>
      <c r="AC43" s="887"/>
      <c r="AD43" s="884"/>
      <c r="AE43" s="885"/>
      <c r="AF43" s="886"/>
      <c r="AG43" s="885"/>
      <c r="AH43" s="886"/>
      <c r="AI43" s="887"/>
      <c r="AJ43" s="884"/>
      <c r="AK43" s="885"/>
      <c r="AL43" s="886"/>
      <c r="AM43" s="885"/>
      <c r="AN43" s="886"/>
      <c r="AO43" s="885"/>
      <c r="AP43" s="886"/>
      <c r="AQ43" s="885"/>
      <c r="AR43" s="886"/>
      <c r="AS43" s="885"/>
      <c r="AT43" s="886"/>
      <c r="AU43" s="885"/>
      <c r="AV43" s="886">
        <f t="shared" si="0"/>
        <v>0</v>
      </c>
      <c r="AW43" s="885">
        <f t="shared" si="0"/>
        <v>0</v>
      </c>
      <c r="AX43" s="886"/>
      <c r="AY43" s="885"/>
      <c r="AZ43" s="886">
        <f t="shared" si="1"/>
        <v>0</v>
      </c>
      <c r="BA43" s="887">
        <f t="shared" si="1"/>
        <v>0</v>
      </c>
    </row>
    <row r="44" spans="1:53" ht="14.25">
      <c r="A44" s="789" t="s">
        <v>315</v>
      </c>
      <c r="B44" s="888"/>
      <c r="C44" s="889"/>
      <c r="D44" s="886"/>
      <c r="E44" s="885"/>
      <c r="F44" s="886"/>
      <c r="G44" s="885"/>
      <c r="H44" s="886"/>
      <c r="I44" s="885"/>
      <c r="J44" s="886"/>
      <c r="K44" s="885"/>
      <c r="L44" s="886"/>
      <c r="M44" s="887"/>
      <c r="N44" s="884">
        <v>240636</v>
      </c>
      <c r="O44" s="887">
        <v>164020</v>
      </c>
      <c r="P44" s="884"/>
      <c r="Q44" s="887"/>
      <c r="R44" s="884">
        <v>55594</v>
      </c>
      <c r="S44" s="887">
        <v>84793</v>
      </c>
      <c r="T44" s="884"/>
      <c r="U44" s="887"/>
      <c r="V44" s="884"/>
      <c r="W44" s="887"/>
      <c r="X44" s="884"/>
      <c r="Y44" s="885"/>
      <c r="Z44" s="886"/>
      <c r="AA44" s="885"/>
      <c r="AB44" s="886"/>
      <c r="AC44" s="887"/>
      <c r="AD44" s="884"/>
      <c r="AE44" s="885"/>
      <c r="AF44" s="886"/>
      <c r="AG44" s="885"/>
      <c r="AH44" s="886"/>
      <c r="AI44" s="887"/>
      <c r="AJ44" s="884"/>
      <c r="AK44" s="885"/>
      <c r="AL44" s="886"/>
      <c r="AM44" s="885"/>
      <c r="AN44" s="886"/>
      <c r="AO44" s="885"/>
      <c r="AP44" s="886"/>
      <c r="AQ44" s="885"/>
      <c r="AR44" s="886"/>
      <c r="AS44" s="885"/>
      <c r="AT44" s="886"/>
      <c r="AU44" s="885"/>
      <c r="AV44" s="886"/>
      <c r="AW44" s="885"/>
      <c r="AX44" s="886"/>
      <c r="AY44" s="885"/>
      <c r="AZ44" s="886">
        <f t="shared" si="1"/>
        <v>0</v>
      </c>
      <c r="BA44" s="887">
        <f t="shared" si="1"/>
        <v>0</v>
      </c>
    </row>
    <row r="45" spans="1:53" ht="14.25">
      <c r="A45" s="317" t="s">
        <v>316</v>
      </c>
      <c r="B45" s="888">
        <v>3555573</v>
      </c>
      <c r="C45" s="889">
        <v>2264484</v>
      </c>
      <c r="D45" s="886">
        <v>218486</v>
      </c>
      <c r="E45" s="885">
        <v>163889</v>
      </c>
      <c r="F45" s="886"/>
      <c r="G45" s="885"/>
      <c r="H45" s="886">
        <v>1104368</v>
      </c>
      <c r="I45" s="885">
        <v>1453239</v>
      </c>
      <c r="J45" s="886">
        <v>809088</v>
      </c>
      <c r="K45" s="885">
        <v>658182</v>
      </c>
      <c r="L45" s="886">
        <v>1764212</v>
      </c>
      <c r="M45" s="887">
        <v>518529</v>
      </c>
      <c r="N45" s="884">
        <v>329178</v>
      </c>
      <c r="O45" s="887">
        <v>225079</v>
      </c>
      <c r="P45" s="884">
        <v>477606</v>
      </c>
      <c r="Q45" s="887">
        <v>407476</v>
      </c>
      <c r="R45" s="884">
        <v>1356980</v>
      </c>
      <c r="S45" s="887">
        <v>1310325</v>
      </c>
      <c r="T45" s="884">
        <v>588786</v>
      </c>
      <c r="U45" s="887">
        <v>568369</v>
      </c>
      <c r="V45" s="884">
        <v>3664657</v>
      </c>
      <c r="W45" s="887">
        <v>4803962</v>
      </c>
      <c r="X45" s="884">
        <v>4996011</v>
      </c>
      <c r="Y45" s="885">
        <v>5246560</v>
      </c>
      <c r="Z45" s="886">
        <v>620888</v>
      </c>
      <c r="AA45" s="885">
        <v>653672</v>
      </c>
      <c r="AB45" s="886">
        <v>652810</v>
      </c>
      <c r="AC45" s="887">
        <v>956420</v>
      </c>
      <c r="AD45" s="884">
        <v>1511152</v>
      </c>
      <c r="AE45" s="885">
        <v>1240139</v>
      </c>
      <c r="AF45" s="886"/>
      <c r="AG45" s="885">
        <v>4428259</v>
      </c>
      <c r="AH45" s="886">
        <v>2228361</v>
      </c>
      <c r="AI45" s="887">
        <v>685024</v>
      </c>
      <c r="AJ45" s="884">
        <v>1902588</v>
      </c>
      <c r="AK45" s="885">
        <v>1625147</v>
      </c>
      <c r="AL45" s="886"/>
      <c r="AM45" s="885"/>
      <c r="AN45" s="886">
        <v>21604780</v>
      </c>
      <c r="AO45" s="885">
        <v>28132538</v>
      </c>
      <c r="AP45" s="886">
        <v>1017409</v>
      </c>
      <c r="AQ45" s="885">
        <v>1197498</v>
      </c>
      <c r="AR45" s="886">
        <v>851774</v>
      </c>
      <c r="AS45" s="885">
        <v>846023</v>
      </c>
      <c r="AT45" s="886">
        <v>1604565</v>
      </c>
      <c r="AU45" s="885">
        <v>1596059</v>
      </c>
      <c r="AV45" s="886"/>
      <c r="AW45" s="885"/>
      <c r="AX45" s="886">
        <v>169056342</v>
      </c>
      <c r="AY45" s="885">
        <v>152709124</v>
      </c>
      <c r="AZ45" s="886">
        <f t="shared" si="1"/>
        <v>169056342</v>
      </c>
      <c r="BA45" s="887">
        <f t="shared" si="1"/>
        <v>152709124</v>
      </c>
    </row>
    <row r="46" spans="1:53" ht="14.25">
      <c r="A46" s="317" t="s">
        <v>317</v>
      </c>
      <c r="B46" s="888">
        <v>11517092</v>
      </c>
      <c r="C46" s="889">
        <v>14237043</v>
      </c>
      <c r="D46" s="886">
        <v>1239913</v>
      </c>
      <c r="E46" s="885">
        <v>1578623</v>
      </c>
      <c r="F46" s="886"/>
      <c r="G46" s="885"/>
      <c r="H46" s="886">
        <v>21155804</v>
      </c>
      <c r="I46" s="885">
        <v>20994867</v>
      </c>
      <c r="J46" s="886">
        <v>3917688</v>
      </c>
      <c r="K46" s="885">
        <v>4412694</v>
      </c>
      <c r="L46" s="886">
        <v>3223630</v>
      </c>
      <c r="M46" s="887">
        <v>4532244</v>
      </c>
      <c r="N46" s="884">
        <v>3334128</v>
      </c>
      <c r="O46" s="887">
        <v>3591759</v>
      </c>
      <c r="P46" s="884">
        <v>2165532</v>
      </c>
      <c r="Q46" s="887">
        <v>2716962</v>
      </c>
      <c r="R46" s="884">
        <v>5648573</v>
      </c>
      <c r="S46" s="887">
        <v>5948507</v>
      </c>
      <c r="T46" s="884">
        <v>1637527</v>
      </c>
      <c r="U46" s="887">
        <v>2032450</v>
      </c>
      <c r="V46" s="884">
        <v>28420144</v>
      </c>
      <c r="W46" s="887">
        <v>41700091</v>
      </c>
      <c r="X46" s="884">
        <v>27402900</v>
      </c>
      <c r="Y46" s="885">
        <v>33304105</v>
      </c>
      <c r="Z46" s="886">
        <v>4495594</v>
      </c>
      <c r="AA46" s="885">
        <v>5062621</v>
      </c>
      <c r="AB46" s="886">
        <v>4211193</v>
      </c>
      <c r="AC46" s="887">
        <v>5318280</v>
      </c>
      <c r="AD46" s="884">
        <v>5838747</v>
      </c>
      <c r="AE46" s="885">
        <v>8101839</v>
      </c>
      <c r="AF46" s="886"/>
      <c r="AG46" s="885">
        <v>21704325</v>
      </c>
      <c r="AH46" s="886">
        <v>8189418</v>
      </c>
      <c r="AI46" s="887">
        <v>10609940</v>
      </c>
      <c r="AJ46" s="884">
        <v>9253477</v>
      </c>
      <c r="AK46" s="885">
        <v>10220406</v>
      </c>
      <c r="AL46" s="886"/>
      <c r="AM46" s="885"/>
      <c r="AN46" s="886">
        <v>62435299</v>
      </c>
      <c r="AO46" s="885">
        <v>46005965</v>
      </c>
      <c r="AP46" s="886">
        <v>3087277</v>
      </c>
      <c r="AQ46" s="885">
        <v>3480678</v>
      </c>
      <c r="AR46" s="886">
        <v>3709895</v>
      </c>
      <c r="AS46" s="885">
        <v>4117511</v>
      </c>
      <c r="AT46" s="886">
        <v>7802153</v>
      </c>
      <c r="AU46" s="885">
        <v>13755810</v>
      </c>
      <c r="AV46" s="886"/>
      <c r="AW46" s="885"/>
      <c r="AX46" s="886">
        <v>1379679376</v>
      </c>
      <c r="AY46" s="885">
        <v>1496162538</v>
      </c>
      <c r="AZ46" s="886">
        <f t="shared" si="1"/>
        <v>1379679376</v>
      </c>
      <c r="BA46" s="887">
        <f t="shared" si="1"/>
        <v>1496162538</v>
      </c>
    </row>
    <row r="47" spans="1:53" s="61" customFormat="1" ht="13.5">
      <c r="A47" s="789" t="s">
        <v>318</v>
      </c>
      <c r="B47" s="891">
        <f>SUM(B45:B46)</f>
        <v>15072665</v>
      </c>
      <c r="C47" s="892">
        <f>SUM(C45:C46)</f>
        <v>16501527</v>
      </c>
      <c r="D47" s="892">
        <f aca="true" t="shared" si="5" ref="D47:AU47">SUM(D45:D46)</f>
        <v>1458399</v>
      </c>
      <c r="E47" s="892">
        <f t="shared" si="5"/>
        <v>1742512</v>
      </c>
      <c r="F47" s="892">
        <f t="shared" si="5"/>
        <v>0</v>
      </c>
      <c r="G47" s="892">
        <f t="shared" si="5"/>
        <v>0</v>
      </c>
      <c r="H47" s="892">
        <f t="shared" si="5"/>
        <v>22260172</v>
      </c>
      <c r="I47" s="892">
        <f t="shared" si="5"/>
        <v>22448106</v>
      </c>
      <c r="J47" s="892">
        <f t="shared" si="5"/>
        <v>4726776</v>
      </c>
      <c r="K47" s="892">
        <f t="shared" si="5"/>
        <v>5070876</v>
      </c>
      <c r="L47" s="892">
        <f t="shared" si="5"/>
        <v>4987842</v>
      </c>
      <c r="M47" s="892">
        <f t="shared" si="5"/>
        <v>5050773</v>
      </c>
      <c r="N47" s="892">
        <f t="shared" si="5"/>
        <v>3663306</v>
      </c>
      <c r="O47" s="892">
        <f t="shared" si="5"/>
        <v>3816838</v>
      </c>
      <c r="P47" s="892">
        <f t="shared" si="5"/>
        <v>2643138</v>
      </c>
      <c r="Q47" s="892">
        <f t="shared" si="5"/>
        <v>3124438</v>
      </c>
      <c r="R47" s="892">
        <f t="shared" si="5"/>
        <v>7005553</v>
      </c>
      <c r="S47" s="892">
        <f t="shared" si="5"/>
        <v>7258832</v>
      </c>
      <c r="T47" s="892">
        <f t="shared" si="5"/>
        <v>2226313</v>
      </c>
      <c r="U47" s="892">
        <f t="shared" si="5"/>
        <v>2600819</v>
      </c>
      <c r="V47" s="892">
        <f t="shared" si="5"/>
        <v>32084801</v>
      </c>
      <c r="W47" s="892">
        <f t="shared" si="5"/>
        <v>46504053</v>
      </c>
      <c r="X47" s="892">
        <f t="shared" si="5"/>
        <v>32398911</v>
      </c>
      <c r="Y47" s="892">
        <f t="shared" si="5"/>
        <v>38550665</v>
      </c>
      <c r="Z47" s="892">
        <f t="shared" si="5"/>
        <v>5116482</v>
      </c>
      <c r="AA47" s="892">
        <f t="shared" si="5"/>
        <v>5716293</v>
      </c>
      <c r="AB47" s="892">
        <f t="shared" si="5"/>
        <v>4864003</v>
      </c>
      <c r="AC47" s="892">
        <f t="shared" si="5"/>
        <v>6274700</v>
      </c>
      <c r="AD47" s="892">
        <f t="shared" si="5"/>
        <v>7349899</v>
      </c>
      <c r="AE47" s="892">
        <f t="shared" si="5"/>
        <v>9341978</v>
      </c>
      <c r="AF47" s="892">
        <f t="shared" si="5"/>
        <v>0</v>
      </c>
      <c r="AG47" s="892">
        <f t="shared" si="5"/>
        <v>26132584</v>
      </c>
      <c r="AH47" s="892">
        <f t="shared" si="5"/>
        <v>10417779</v>
      </c>
      <c r="AI47" s="892">
        <f t="shared" si="5"/>
        <v>11294964</v>
      </c>
      <c r="AJ47" s="892">
        <f t="shared" si="5"/>
        <v>11156065</v>
      </c>
      <c r="AK47" s="892">
        <f t="shared" si="5"/>
        <v>11845553</v>
      </c>
      <c r="AL47" s="892">
        <f t="shared" si="5"/>
        <v>0</v>
      </c>
      <c r="AM47" s="892">
        <f t="shared" si="5"/>
        <v>0</v>
      </c>
      <c r="AN47" s="892">
        <f t="shared" si="5"/>
        <v>84040079</v>
      </c>
      <c r="AO47" s="892">
        <f t="shared" si="5"/>
        <v>74138503</v>
      </c>
      <c r="AP47" s="892">
        <f t="shared" si="5"/>
        <v>4104686</v>
      </c>
      <c r="AQ47" s="892">
        <f t="shared" si="5"/>
        <v>4678176</v>
      </c>
      <c r="AR47" s="892">
        <f t="shared" si="5"/>
        <v>4561669</v>
      </c>
      <c r="AS47" s="892">
        <f t="shared" si="5"/>
        <v>4963534</v>
      </c>
      <c r="AT47" s="892">
        <f t="shared" si="5"/>
        <v>9406718</v>
      </c>
      <c r="AU47" s="892">
        <f t="shared" si="5"/>
        <v>15351869</v>
      </c>
      <c r="AV47" s="895">
        <f t="shared" si="0"/>
        <v>269545256</v>
      </c>
      <c r="AW47" s="898">
        <f t="shared" si="0"/>
        <v>322407593</v>
      </c>
      <c r="AX47" s="895">
        <v>1548735718</v>
      </c>
      <c r="AY47" s="898">
        <v>1648871662</v>
      </c>
      <c r="AZ47" s="895">
        <f t="shared" si="1"/>
        <v>1818280974</v>
      </c>
      <c r="BA47" s="896">
        <f t="shared" si="1"/>
        <v>1971279255</v>
      </c>
    </row>
    <row r="48" spans="1:53" ht="14.25">
      <c r="A48" s="317" t="s">
        <v>319</v>
      </c>
      <c r="B48" s="888">
        <v>9651929</v>
      </c>
      <c r="C48" s="889">
        <v>11966320</v>
      </c>
      <c r="D48" s="886">
        <v>1522357</v>
      </c>
      <c r="E48" s="885">
        <v>1646077</v>
      </c>
      <c r="F48" s="886"/>
      <c r="G48" s="885"/>
      <c r="H48" s="886">
        <v>16292417</v>
      </c>
      <c r="I48" s="885">
        <v>13412379</v>
      </c>
      <c r="J48" s="886">
        <v>3307585</v>
      </c>
      <c r="K48" s="885">
        <v>3912097</v>
      </c>
      <c r="L48" s="886">
        <v>3346374</v>
      </c>
      <c r="M48" s="887">
        <v>3901782</v>
      </c>
      <c r="N48" s="884">
        <v>2153335</v>
      </c>
      <c r="O48" s="887">
        <v>1554668</v>
      </c>
      <c r="P48" s="884">
        <v>2221443</v>
      </c>
      <c r="Q48" s="887">
        <v>2596312</v>
      </c>
      <c r="R48" s="884">
        <v>4439932</v>
      </c>
      <c r="S48" s="887">
        <v>5208448</v>
      </c>
      <c r="T48" s="884">
        <v>1667124</v>
      </c>
      <c r="U48" s="887">
        <v>2083633</v>
      </c>
      <c r="V48" s="884">
        <v>45940065</v>
      </c>
      <c r="W48" s="887">
        <v>57537913</v>
      </c>
      <c r="X48" s="884">
        <v>32690736</v>
      </c>
      <c r="Y48" s="885">
        <v>34852100</v>
      </c>
      <c r="Z48" s="886">
        <v>1569550</v>
      </c>
      <c r="AA48" s="885">
        <v>2433213</v>
      </c>
      <c r="AB48" s="886">
        <v>2891117</v>
      </c>
      <c r="AC48" s="887">
        <v>4553978</v>
      </c>
      <c r="AD48" s="884">
        <v>12154267</v>
      </c>
      <c r="AE48" s="885">
        <v>14457009</v>
      </c>
      <c r="AF48" s="886"/>
      <c r="AG48" s="885">
        <v>24008436</v>
      </c>
      <c r="AH48" s="886">
        <v>10011782</v>
      </c>
      <c r="AI48" s="887">
        <v>11198297</v>
      </c>
      <c r="AJ48" s="884">
        <v>8849149</v>
      </c>
      <c r="AK48" s="885">
        <v>8906570</v>
      </c>
      <c r="AL48" s="886"/>
      <c r="AM48" s="885"/>
      <c r="AN48" s="886">
        <v>57858776</v>
      </c>
      <c r="AO48" s="885">
        <v>38883415</v>
      </c>
      <c r="AP48" s="886">
        <v>2123462</v>
      </c>
      <c r="AQ48" s="885">
        <v>2559691</v>
      </c>
      <c r="AR48" s="886">
        <v>1823847</v>
      </c>
      <c r="AS48" s="885">
        <v>3243501</v>
      </c>
      <c r="AT48" s="886">
        <v>9107629</v>
      </c>
      <c r="AU48" s="885">
        <v>13564226</v>
      </c>
      <c r="AV48" s="886"/>
      <c r="AW48" s="885"/>
      <c r="AX48" s="886">
        <v>577780468</v>
      </c>
      <c r="AY48" s="885">
        <v>682817148</v>
      </c>
      <c r="AZ48" s="886">
        <f t="shared" si="1"/>
        <v>577780468</v>
      </c>
      <c r="BA48" s="887">
        <f t="shared" si="1"/>
        <v>682817148</v>
      </c>
    </row>
    <row r="49" spans="1:53" ht="14.25">
      <c r="A49" s="317" t="s">
        <v>320</v>
      </c>
      <c r="B49" s="888">
        <v>711665</v>
      </c>
      <c r="C49" s="889">
        <v>1087447</v>
      </c>
      <c r="D49" s="886">
        <v>22879</v>
      </c>
      <c r="E49" s="885">
        <v>22698</v>
      </c>
      <c r="F49" s="886"/>
      <c r="G49" s="885"/>
      <c r="H49" s="886">
        <v>4338985</v>
      </c>
      <c r="I49" s="885">
        <v>4399899</v>
      </c>
      <c r="J49" s="886">
        <v>212422</v>
      </c>
      <c r="K49" s="885">
        <v>242095</v>
      </c>
      <c r="L49" s="886">
        <v>91275</v>
      </c>
      <c r="M49" s="887">
        <v>136701</v>
      </c>
      <c r="N49" s="884">
        <v>1566807</v>
      </c>
      <c r="O49" s="887">
        <v>1814086</v>
      </c>
      <c r="P49" s="884">
        <v>32815</v>
      </c>
      <c r="Q49" s="887">
        <v>22936</v>
      </c>
      <c r="R49" s="884">
        <v>376057</v>
      </c>
      <c r="S49" s="887">
        <v>560325</v>
      </c>
      <c r="T49" s="884">
        <v>148874</v>
      </c>
      <c r="U49" s="887">
        <v>53700</v>
      </c>
      <c r="V49" s="884">
        <v>632238</v>
      </c>
      <c r="W49" s="887">
        <v>678487</v>
      </c>
      <c r="X49" s="884">
        <v>214456</v>
      </c>
      <c r="Y49" s="885">
        <v>238693</v>
      </c>
      <c r="Z49" s="886">
        <v>181733</v>
      </c>
      <c r="AA49" s="885">
        <v>105849</v>
      </c>
      <c r="AB49" s="886">
        <v>41609</v>
      </c>
      <c r="AC49" s="887">
        <v>17931</v>
      </c>
      <c r="AD49" s="884">
        <v>549723</v>
      </c>
      <c r="AE49" s="885">
        <v>2860280</v>
      </c>
      <c r="AF49" s="886"/>
      <c r="AG49" s="885">
        <v>1083427</v>
      </c>
      <c r="AH49" s="886">
        <v>319938</v>
      </c>
      <c r="AI49" s="887">
        <v>348521</v>
      </c>
      <c r="AJ49" s="884">
        <v>545182</v>
      </c>
      <c r="AK49" s="885">
        <v>682401</v>
      </c>
      <c r="AL49" s="886"/>
      <c r="AM49" s="885"/>
      <c r="AN49" s="886">
        <v>2431962</v>
      </c>
      <c r="AO49" s="885">
        <v>2644888</v>
      </c>
      <c r="AP49" s="886">
        <v>179960</v>
      </c>
      <c r="AQ49" s="885">
        <v>267982</v>
      </c>
      <c r="AR49" s="886">
        <v>20937</v>
      </c>
      <c r="AS49" s="885">
        <v>21841</v>
      </c>
      <c r="AT49" s="886">
        <v>394162</v>
      </c>
      <c r="AU49" s="885">
        <v>559079</v>
      </c>
      <c r="AV49" s="886"/>
      <c r="AW49" s="885"/>
      <c r="AX49" s="886">
        <v>149430560</v>
      </c>
      <c r="AY49" s="885">
        <v>176407989</v>
      </c>
      <c r="AZ49" s="886">
        <f t="shared" si="1"/>
        <v>149430560</v>
      </c>
      <c r="BA49" s="887">
        <f t="shared" si="1"/>
        <v>176407989</v>
      </c>
    </row>
    <row r="50" spans="1:53" s="61" customFormat="1" ht="13.5">
      <c r="A50" s="789" t="s">
        <v>321</v>
      </c>
      <c r="B50" s="891">
        <f>SUM(B48:B49)</f>
        <v>10363594</v>
      </c>
      <c r="C50" s="892">
        <f>SUM(C48:C49)</f>
        <v>13053767</v>
      </c>
      <c r="D50" s="895">
        <v>1545236</v>
      </c>
      <c r="E50" s="898">
        <f aca="true" t="shared" si="6" ref="E50:AM50">SUM(E48:E49)</f>
        <v>1668775</v>
      </c>
      <c r="F50" s="895">
        <f t="shared" si="6"/>
        <v>0</v>
      </c>
      <c r="G50" s="898">
        <f t="shared" si="6"/>
        <v>0</v>
      </c>
      <c r="H50" s="895">
        <f t="shared" si="6"/>
        <v>20631402</v>
      </c>
      <c r="I50" s="898">
        <f t="shared" si="6"/>
        <v>17812278</v>
      </c>
      <c r="J50" s="895">
        <f t="shared" si="6"/>
        <v>3520007</v>
      </c>
      <c r="K50" s="898">
        <f t="shared" si="6"/>
        <v>4154192</v>
      </c>
      <c r="L50" s="895">
        <f t="shared" si="6"/>
        <v>3437649</v>
      </c>
      <c r="M50" s="896">
        <f t="shared" si="6"/>
        <v>4038483</v>
      </c>
      <c r="N50" s="897">
        <f t="shared" si="6"/>
        <v>3720142</v>
      </c>
      <c r="O50" s="896">
        <f t="shared" si="6"/>
        <v>3368754</v>
      </c>
      <c r="P50" s="897">
        <f t="shared" si="6"/>
        <v>2254258</v>
      </c>
      <c r="Q50" s="896">
        <f t="shared" si="6"/>
        <v>2619248</v>
      </c>
      <c r="R50" s="897">
        <f t="shared" si="6"/>
        <v>4815989</v>
      </c>
      <c r="S50" s="896">
        <f t="shared" si="6"/>
        <v>5768773</v>
      </c>
      <c r="T50" s="897">
        <f t="shared" si="6"/>
        <v>1815998</v>
      </c>
      <c r="U50" s="896">
        <f t="shared" si="6"/>
        <v>2137333</v>
      </c>
      <c r="V50" s="897">
        <f t="shared" si="6"/>
        <v>46572303</v>
      </c>
      <c r="W50" s="896">
        <f t="shared" si="6"/>
        <v>58216400</v>
      </c>
      <c r="X50" s="897">
        <f t="shared" si="6"/>
        <v>32905192</v>
      </c>
      <c r="Y50" s="898">
        <f t="shared" si="6"/>
        <v>35090793</v>
      </c>
      <c r="Z50" s="898">
        <f t="shared" si="6"/>
        <v>1751283</v>
      </c>
      <c r="AA50" s="898">
        <f t="shared" si="6"/>
        <v>2539062</v>
      </c>
      <c r="AB50" s="898">
        <f t="shared" si="6"/>
        <v>2932726</v>
      </c>
      <c r="AC50" s="898">
        <f t="shared" si="6"/>
        <v>4571909</v>
      </c>
      <c r="AD50" s="898">
        <f t="shared" si="6"/>
        <v>12703990</v>
      </c>
      <c r="AE50" s="898">
        <f t="shared" si="6"/>
        <v>17317289</v>
      </c>
      <c r="AF50" s="898">
        <f t="shared" si="6"/>
        <v>0</v>
      </c>
      <c r="AG50" s="898">
        <f t="shared" si="6"/>
        <v>25091863</v>
      </c>
      <c r="AH50" s="898">
        <f t="shared" si="6"/>
        <v>10331720</v>
      </c>
      <c r="AI50" s="898">
        <f t="shared" si="6"/>
        <v>11546818</v>
      </c>
      <c r="AJ50" s="898">
        <f t="shared" si="6"/>
        <v>9394331</v>
      </c>
      <c r="AK50" s="898">
        <f t="shared" si="6"/>
        <v>9588971</v>
      </c>
      <c r="AL50" s="898">
        <f t="shared" si="6"/>
        <v>0</v>
      </c>
      <c r="AM50" s="898">
        <f t="shared" si="6"/>
        <v>0</v>
      </c>
      <c r="AN50" s="895">
        <f>SUM(AN48:AN49)</f>
        <v>60290738</v>
      </c>
      <c r="AO50" s="895">
        <f>SUM(AO48:AO49)</f>
        <v>41528303</v>
      </c>
      <c r="AP50" s="895">
        <f aca="true" t="shared" si="7" ref="AP50:AU50">SUM(AP48:AP49)</f>
        <v>2303422</v>
      </c>
      <c r="AQ50" s="895">
        <f t="shared" si="7"/>
        <v>2827673</v>
      </c>
      <c r="AR50" s="895">
        <f t="shared" si="7"/>
        <v>1844784</v>
      </c>
      <c r="AS50" s="898">
        <f t="shared" si="7"/>
        <v>3265342</v>
      </c>
      <c r="AT50" s="895">
        <f t="shared" si="7"/>
        <v>9501791</v>
      </c>
      <c r="AU50" s="898">
        <f t="shared" si="7"/>
        <v>14123305</v>
      </c>
      <c r="AV50" s="895">
        <f t="shared" si="0"/>
        <v>242636555</v>
      </c>
      <c r="AW50" s="898">
        <f t="shared" si="0"/>
        <v>280329331</v>
      </c>
      <c r="AX50" s="895">
        <f>SUM(AX48:AX49)</f>
        <v>727211028</v>
      </c>
      <c r="AY50" s="898">
        <f>SUM(AY48:AY49)</f>
        <v>859225137</v>
      </c>
      <c r="AZ50" s="895">
        <f t="shared" si="1"/>
        <v>969847583</v>
      </c>
      <c r="BA50" s="896">
        <f t="shared" si="1"/>
        <v>1139554468</v>
      </c>
    </row>
    <row r="51" spans="1:53" s="61" customFormat="1" ht="13.5">
      <c r="A51" s="789" t="s">
        <v>322</v>
      </c>
      <c r="B51" s="891">
        <f aca="true" t="shared" si="8" ref="B51:AK51">B47-B50</f>
        <v>4709071</v>
      </c>
      <c r="C51" s="892">
        <f t="shared" si="8"/>
        <v>3447760</v>
      </c>
      <c r="D51" s="895">
        <f t="shared" si="8"/>
        <v>-86837</v>
      </c>
      <c r="E51" s="898">
        <f t="shared" si="8"/>
        <v>73737</v>
      </c>
      <c r="F51" s="895">
        <f t="shared" si="8"/>
        <v>0</v>
      </c>
      <c r="G51" s="898">
        <f t="shared" si="8"/>
        <v>0</v>
      </c>
      <c r="H51" s="895">
        <f t="shared" si="8"/>
        <v>1628770</v>
      </c>
      <c r="I51" s="898">
        <f t="shared" si="8"/>
        <v>4635828</v>
      </c>
      <c r="J51" s="895">
        <f t="shared" si="8"/>
        <v>1206769</v>
      </c>
      <c r="K51" s="898">
        <f t="shared" si="8"/>
        <v>916684</v>
      </c>
      <c r="L51" s="895">
        <f t="shared" si="8"/>
        <v>1550193</v>
      </c>
      <c r="M51" s="896">
        <f t="shared" si="8"/>
        <v>1012290</v>
      </c>
      <c r="N51" s="897">
        <f t="shared" si="8"/>
        <v>-56836</v>
      </c>
      <c r="O51" s="896">
        <f t="shared" si="8"/>
        <v>448084</v>
      </c>
      <c r="P51" s="897">
        <f t="shared" si="8"/>
        <v>388880</v>
      </c>
      <c r="Q51" s="896">
        <f t="shared" si="8"/>
        <v>505190</v>
      </c>
      <c r="R51" s="897">
        <f t="shared" si="8"/>
        <v>2189564</v>
      </c>
      <c r="S51" s="896">
        <f t="shared" si="8"/>
        <v>1490059</v>
      </c>
      <c r="T51" s="897">
        <f t="shared" si="8"/>
        <v>410315</v>
      </c>
      <c r="U51" s="896">
        <f t="shared" si="8"/>
        <v>463486</v>
      </c>
      <c r="V51" s="897">
        <f t="shared" si="8"/>
        <v>-14487502</v>
      </c>
      <c r="W51" s="896">
        <f t="shared" si="8"/>
        <v>-11712347</v>
      </c>
      <c r="X51" s="897">
        <f t="shared" si="8"/>
        <v>-506281</v>
      </c>
      <c r="Y51" s="898">
        <f t="shared" si="8"/>
        <v>3459872</v>
      </c>
      <c r="Z51" s="898">
        <f t="shared" si="8"/>
        <v>3365199</v>
      </c>
      <c r="AA51" s="898">
        <f t="shared" si="8"/>
        <v>3177231</v>
      </c>
      <c r="AB51" s="898">
        <f t="shared" si="8"/>
        <v>1931277</v>
      </c>
      <c r="AC51" s="898">
        <f t="shared" si="8"/>
        <v>1702791</v>
      </c>
      <c r="AD51" s="898">
        <f t="shared" si="8"/>
        <v>-5354091</v>
      </c>
      <c r="AE51" s="898">
        <f t="shared" si="8"/>
        <v>-7975311</v>
      </c>
      <c r="AF51" s="898">
        <f t="shared" si="8"/>
        <v>0</v>
      </c>
      <c r="AG51" s="898">
        <f t="shared" si="8"/>
        <v>1040721</v>
      </c>
      <c r="AH51" s="898">
        <f t="shared" si="8"/>
        <v>86059</v>
      </c>
      <c r="AI51" s="898">
        <f t="shared" si="8"/>
        <v>-251854</v>
      </c>
      <c r="AJ51" s="898">
        <f t="shared" si="8"/>
        <v>1761734</v>
      </c>
      <c r="AK51" s="898">
        <f t="shared" si="8"/>
        <v>2256582</v>
      </c>
      <c r="AL51" s="895">
        <f>AL47-AL50</f>
        <v>0</v>
      </c>
      <c r="AM51" s="898">
        <f>AM47-AM50</f>
        <v>0</v>
      </c>
      <c r="AN51" s="895">
        <f>AN47-AN50</f>
        <v>23749341</v>
      </c>
      <c r="AO51" s="898">
        <f>AO47-AO50</f>
        <v>32610200</v>
      </c>
      <c r="AP51" s="895">
        <f aca="true" t="shared" si="9" ref="AP51:AU51">AP47-AP50</f>
        <v>1801264</v>
      </c>
      <c r="AQ51" s="898">
        <f t="shared" si="9"/>
        <v>1850503</v>
      </c>
      <c r="AR51" s="895">
        <f t="shared" si="9"/>
        <v>2716885</v>
      </c>
      <c r="AS51" s="898">
        <f t="shared" si="9"/>
        <v>1698192</v>
      </c>
      <c r="AT51" s="895">
        <f t="shared" si="9"/>
        <v>-95073</v>
      </c>
      <c r="AU51" s="898">
        <f t="shared" si="9"/>
        <v>1228564</v>
      </c>
      <c r="AV51" s="895">
        <f t="shared" si="0"/>
        <v>26908701</v>
      </c>
      <c r="AW51" s="898">
        <f t="shared" si="0"/>
        <v>42078262</v>
      </c>
      <c r="AX51" s="895">
        <f>AX47-AX50</f>
        <v>821524690</v>
      </c>
      <c r="AY51" s="898">
        <f>AY47-AY50</f>
        <v>789646525</v>
      </c>
      <c r="AZ51" s="895">
        <f t="shared" si="1"/>
        <v>848433391</v>
      </c>
      <c r="BA51" s="896">
        <f t="shared" si="1"/>
        <v>831724787</v>
      </c>
    </row>
    <row r="52" spans="1:53" ht="14.25">
      <c r="A52" s="317" t="s">
        <v>323</v>
      </c>
      <c r="B52" s="888"/>
      <c r="C52" s="889"/>
      <c r="D52" s="886"/>
      <c r="E52" s="885"/>
      <c r="F52" s="886"/>
      <c r="G52" s="885"/>
      <c r="H52" s="886"/>
      <c r="I52" s="885"/>
      <c r="J52" s="886"/>
      <c r="K52" s="885"/>
      <c r="L52" s="886"/>
      <c r="M52" s="887"/>
      <c r="N52" s="884"/>
      <c r="O52" s="887"/>
      <c r="P52" s="884"/>
      <c r="Q52" s="887"/>
      <c r="R52" s="884"/>
      <c r="S52" s="887"/>
      <c r="T52" s="884"/>
      <c r="U52" s="887"/>
      <c r="V52" s="884"/>
      <c r="W52" s="887"/>
      <c r="X52" s="884"/>
      <c r="Y52" s="885"/>
      <c r="Z52" s="886"/>
      <c r="AA52" s="885"/>
      <c r="AB52" s="886"/>
      <c r="AC52" s="887"/>
      <c r="AD52" s="884"/>
      <c r="AE52" s="885"/>
      <c r="AF52" s="886"/>
      <c r="AG52" s="885"/>
      <c r="AH52" s="886"/>
      <c r="AI52" s="887"/>
      <c r="AJ52" s="884"/>
      <c r="AK52" s="885"/>
      <c r="AL52" s="886"/>
      <c r="AM52" s="885"/>
      <c r="AN52" s="886"/>
      <c r="AO52" s="885"/>
      <c r="AP52" s="886"/>
      <c r="AQ52" s="885"/>
      <c r="AR52" s="886"/>
      <c r="AS52" s="885"/>
      <c r="AT52" s="886"/>
      <c r="AU52" s="885"/>
      <c r="AV52" s="886">
        <f t="shared" si="0"/>
        <v>0</v>
      </c>
      <c r="AW52" s="885">
        <f t="shared" si="0"/>
        <v>0</v>
      </c>
      <c r="AX52" s="886"/>
      <c r="AY52" s="885"/>
      <c r="AZ52" s="886">
        <f t="shared" si="1"/>
        <v>0</v>
      </c>
      <c r="BA52" s="887">
        <f t="shared" si="1"/>
        <v>0</v>
      </c>
    </row>
    <row r="53" spans="1:53" ht="14.25">
      <c r="A53" s="317" t="s">
        <v>324</v>
      </c>
      <c r="B53" s="888"/>
      <c r="C53" s="889"/>
      <c r="D53" s="886"/>
      <c r="E53" s="885"/>
      <c r="F53" s="886"/>
      <c r="G53" s="885"/>
      <c r="H53" s="886"/>
      <c r="I53" s="885"/>
      <c r="J53" s="886"/>
      <c r="K53" s="885"/>
      <c r="L53" s="886"/>
      <c r="M53" s="887"/>
      <c r="N53" s="884"/>
      <c r="O53" s="887"/>
      <c r="P53" s="884"/>
      <c r="Q53" s="887"/>
      <c r="R53" s="884"/>
      <c r="S53" s="887"/>
      <c r="T53" s="884"/>
      <c r="U53" s="887"/>
      <c r="V53" s="884"/>
      <c r="W53" s="887"/>
      <c r="X53" s="884"/>
      <c r="Y53" s="885"/>
      <c r="Z53" s="886"/>
      <c r="AA53" s="885"/>
      <c r="AB53" s="886"/>
      <c r="AC53" s="887"/>
      <c r="AD53" s="884"/>
      <c r="AE53" s="885"/>
      <c r="AF53" s="886"/>
      <c r="AG53" s="885"/>
      <c r="AH53" s="886"/>
      <c r="AI53" s="887"/>
      <c r="AJ53" s="884"/>
      <c r="AK53" s="885"/>
      <c r="AL53" s="886"/>
      <c r="AM53" s="885"/>
      <c r="AN53" s="886"/>
      <c r="AO53" s="885"/>
      <c r="AP53" s="886"/>
      <c r="AQ53" s="885"/>
      <c r="AR53" s="886"/>
      <c r="AS53" s="885"/>
      <c r="AT53" s="886"/>
      <c r="AU53" s="885"/>
      <c r="AV53" s="886">
        <f t="shared" si="0"/>
        <v>0</v>
      </c>
      <c r="AW53" s="885">
        <f t="shared" si="0"/>
        <v>0</v>
      </c>
      <c r="AX53" s="886"/>
      <c r="AY53" s="885"/>
      <c r="AZ53" s="886">
        <f t="shared" si="1"/>
        <v>0</v>
      </c>
      <c r="BA53" s="887">
        <f t="shared" si="1"/>
        <v>0</v>
      </c>
    </row>
    <row r="54" spans="1:53" ht="14.25">
      <c r="A54" s="317" t="s">
        <v>325</v>
      </c>
      <c r="B54" s="888"/>
      <c r="C54" s="889"/>
      <c r="D54" s="886">
        <v>6092086</v>
      </c>
      <c r="E54" s="885">
        <v>7053187</v>
      </c>
      <c r="F54" s="886"/>
      <c r="G54" s="885"/>
      <c r="H54" s="886"/>
      <c r="I54" s="885"/>
      <c r="J54" s="886">
        <v>26014118</v>
      </c>
      <c r="K54" s="885">
        <v>28303343</v>
      </c>
      <c r="L54" s="886"/>
      <c r="M54" s="887"/>
      <c r="N54" s="884">
        <v>3047632</v>
      </c>
      <c r="O54" s="887">
        <v>2102230</v>
      </c>
      <c r="P54" s="884">
        <v>13105301</v>
      </c>
      <c r="Q54" s="887">
        <v>15802229</v>
      </c>
      <c r="R54" s="884">
        <v>8448176</v>
      </c>
      <c r="S54" s="887">
        <v>7279102</v>
      </c>
      <c r="T54" s="884">
        <v>17210063</v>
      </c>
      <c r="U54" s="887">
        <v>18633279</v>
      </c>
      <c r="V54" s="884"/>
      <c r="W54" s="887"/>
      <c r="X54" s="884"/>
      <c r="Y54" s="885"/>
      <c r="Z54" s="886">
        <v>2300</v>
      </c>
      <c r="AA54" s="885">
        <v>132961</v>
      </c>
      <c r="AB54" s="886">
        <v>2163734</v>
      </c>
      <c r="AC54" s="887">
        <v>2441910</v>
      </c>
      <c r="AD54" s="884"/>
      <c r="AE54" s="885"/>
      <c r="AF54" s="886"/>
      <c r="AG54" s="885"/>
      <c r="AH54" s="886">
        <v>7503234</v>
      </c>
      <c r="AI54" s="887">
        <v>6564836</v>
      </c>
      <c r="AJ54" s="884">
        <v>2069865</v>
      </c>
      <c r="AK54" s="885">
        <v>1920346</v>
      </c>
      <c r="AL54" s="886"/>
      <c r="AM54" s="885"/>
      <c r="AN54" s="886"/>
      <c r="AO54" s="885"/>
      <c r="AP54" s="886"/>
      <c r="AQ54" s="885"/>
      <c r="AR54" s="886"/>
      <c r="AS54" s="885"/>
      <c r="AT54" s="886"/>
      <c r="AU54" s="885"/>
      <c r="AV54" s="886">
        <f t="shared" si="0"/>
        <v>85656509</v>
      </c>
      <c r="AW54" s="885">
        <f t="shared" si="0"/>
        <v>90233423</v>
      </c>
      <c r="AX54" s="886"/>
      <c r="AY54" s="885"/>
      <c r="AZ54" s="886">
        <f t="shared" si="1"/>
        <v>85656509</v>
      </c>
      <c r="BA54" s="887">
        <f t="shared" si="1"/>
        <v>90233423</v>
      </c>
    </row>
    <row r="55" spans="1:53" ht="14.25">
      <c r="A55" s="317" t="s">
        <v>326</v>
      </c>
      <c r="B55" s="888"/>
      <c r="C55" s="889"/>
      <c r="D55" s="886">
        <v>13609039</v>
      </c>
      <c r="E55" s="885">
        <v>13815606</v>
      </c>
      <c r="F55" s="886"/>
      <c r="G55" s="885"/>
      <c r="H55" s="886"/>
      <c r="I55" s="885"/>
      <c r="J55" s="886"/>
      <c r="K55" s="885"/>
      <c r="L55" s="886"/>
      <c r="M55" s="887"/>
      <c r="N55" s="884"/>
      <c r="O55" s="887"/>
      <c r="P55" s="884"/>
      <c r="Q55" s="887"/>
      <c r="R55" s="884"/>
      <c r="S55" s="887"/>
      <c r="T55" s="884"/>
      <c r="U55" s="887"/>
      <c r="V55" s="884"/>
      <c r="W55" s="887"/>
      <c r="X55" s="884"/>
      <c r="Y55" s="885"/>
      <c r="Z55" s="886"/>
      <c r="AA55" s="885"/>
      <c r="AB55" s="886">
        <v>187514</v>
      </c>
      <c r="AC55" s="887">
        <v>79638</v>
      </c>
      <c r="AD55" s="884"/>
      <c r="AE55" s="885"/>
      <c r="AF55" s="886"/>
      <c r="AG55" s="885"/>
      <c r="AH55" s="886"/>
      <c r="AI55" s="887"/>
      <c r="AJ55" s="884"/>
      <c r="AK55" s="885"/>
      <c r="AL55" s="886"/>
      <c r="AM55" s="885"/>
      <c r="AN55" s="886"/>
      <c r="AO55" s="885"/>
      <c r="AP55" s="886"/>
      <c r="AQ55" s="885"/>
      <c r="AR55" s="886"/>
      <c r="AS55" s="885"/>
      <c r="AT55" s="886"/>
      <c r="AU55" s="885"/>
      <c r="AV55" s="886">
        <f t="shared" si="0"/>
        <v>13796553</v>
      </c>
      <c r="AW55" s="885">
        <f t="shared" si="0"/>
        <v>13895244</v>
      </c>
      <c r="AX55" s="886"/>
      <c r="AY55" s="885"/>
      <c r="AZ55" s="886">
        <f t="shared" si="1"/>
        <v>13796553</v>
      </c>
      <c r="BA55" s="887">
        <f t="shared" si="1"/>
        <v>13895244</v>
      </c>
    </row>
    <row r="56" spans="1:53" s="61" customFormat="1" ht="13.5">
      <c r="A56" s="789" t="s">
        <v>306</v>
      </c>
      <c r="B56" s="891">
        <v>435039444</v>
      </c>
      <c r="C56" s="892">
        <v>513129694</v>
      </c>
      <c r="D56" s="895">
        <v>47358009</v>
      </c>
      <c r="E56" s="898">
        <v>52928526</v>
      </c>
      <c r="F56" s="895"/>
      <c r="G56" s="898"/>
      <c r="H56" s="895">
        <v>611561091</v>
      </c>
      <c r="I56" s="898">
        <v>712284489</v>
      </c>
      <c r="J56" s="895">
        <v>95438154</v>
      </c>
      <c r="K56" s="898">
        <v>116820398</v>
      </c>
      <c r="L56" s="895">
        <v>167459649</v>
      </c>
      <c r="M56" s="896">
        <v>207349523</v>
      </c>
      <c r="N56" s="897">
        <v>52042553</v>
      </c>
      <c r="O56" s="896">
        <v>57915374</v>
      </c>
      <c r="P56" s="897">
        <v>46218427</v>
      </c>
      <c r="Q56" s="896">
        <v>56651490</v>
      </c>
      <c r="R56" s="897">
        <v>166039599</v>
      </c>
      <c r="S56" s="896">
        <v>185048792</v>
      </c>
      <c r="T56" s="897">
        <v>60106907</v>
      </c>
      <c r="U56" s="896">
        <v>67562436</v>
      </c>
      <c r="V56" s="897">
        <v>1355944613</v>
      </c>
      <c r="W56" s="896">
        <v>1651583810</v>
      </c>
      <c r="X56" s="897">
        <v>1713693697</v>
      </c>
      <c r="Y56" s="898">
        <v>2043347979</v>
      </c>
      <c r="Z56" s="895">
        <v>101784546</v>
      </c>
      <c r="AA56" s="898">
        <v>117131658</v>
      </c>
      <c r="AB56" s="895">
        <v>153036988</v>
      </c>
      <c r="AC56" s="896">
        <v>164561248</v>
      </c>
      <c r="AD56" s="897">
        <v>350688142</v>
      </c>
      <c r="AE56" s="898">
        <v>425241627</v>
      </c>
      <c r="AF56" s="895"/>
      <c r="AG56" s="898">
        <v>855449169</v>
      </c>
      <c r="AH56" s="895">
        <v>235251721</v>
      </c>
      <c r="AI56" s="896">
        <v>276523463</v>
      </c>
      <c r="AJ56" s="897">
        <v>217412400</v>
      </c>
      <c r="AK56" s="898">
        <v>240454211</v>
      </c>
      <c r="AL56" s="895"/>
      <c r="AM56" s="898"/>
      <c r="AN56" s="895">
        <v>1657998310</v>
      </c>
      <c r="AO56" s="898">
        <v>2112421868</v>
      </c>
      <c r="AP56" s="895">
        <v>49811253</v>
      </c>
      <c r="AQ56" s="898">
        <v>61951934</v>
      </c>
      <c r="AR56" s="895">
        <v>95170401</v>
      </c>
      <c r="AS56" s="898">
        <v>113581199</v>
      </c>
      <c r="AT56" s="895">
        <v>330668776</v>
      </c>
      <c r="AU56" s="898">
        <v>435702344</v>
      </c>
      <c r="AV56" s="895">
        <f t="shared" si="0"/>
        <v>7942724680</v>
      </c>
      <c r="AW56" s="898">
        <f t="shared" si="0"/>
        <v>10467641232</v>
      </c>
      <c r="AX56" s="895">
        <v>32553920442</v>
      </c>
      <c r="AY56" s="898">
        <v>35994139934</v>
      </c>
      <c r="AZ56" s="895">
        <f t="shared" si="1"/>
        <v>40496645122</v>
      </c>
      <c r="BA56" s="896">
        <f t="shared" si="1"/>
        <v>46461781166</v>
      </c>
    </row>
    <row r="57" spans="1:53" ht="14.25">
      <c r="A57" s="789" t="s">
        <v>327</v>
      </c>
      <c r="B57" s="884"/>
      <c r="C57" s="885"/>
      <c r="D57" s="886"/>
      <c r="E57" s="885"/>
      <c r="F57" s="886"/>
      <c r="G57" s="885"/>
      <c r="H57" s="886"/>
      <c r="I57" s="885"/>
      <c r="J57" s="886"/>
      <c r="K57" s="885"/>
      <c r="L57" s="886"/>
      <c r="M57" s="887"/>
      <c r="N57" s="884"/>
      <c r="O57" s="887"/>
      <c r="P57" s="884"/>
      <c r="Q57" s="887"/>
      <c r="R57" s="884"/>
      <c r="S57" s="887"/>
      <c r="T57" s="884"/>
      <c r="U57" s="887"/>
      <c r="V57" s="884"/>
      <c r="W57" s="887"/>
      <c r="X57" s="884"/>
      <c r="Y57" s="885"/>
      <c r="Z57" s="886"/>
      <c r="AA57" s="885"/>
      <c r="AB57" s="886"/>
      <c r="AC57" s="887"/>
      <c r="AD57" s="884"/>
      <c r="AE57" s="885"/>
      <c r="AF57" s="886"/>
      <c r="AG57" s="885"/>
      <c r="AH57" s="886"/>
      <c r="AI57" s="887"/>
      <c r="AJ57" s="884"/>
      <c r="AK57" s="885"/>
      <c r="AL57" s="886"/>
      <c r="AM57" s="885"/>
      <c r="AN57" s="886"/>
      <c r="AO57" s="885"/>
      <c r="AP57" s="886"/>
      <c r="AQ57" s="885"/>
      <c r="AR57" s="886"/>
      <c r="AS57" s="885"/>
      <c r="AT57" s="886"/>
      <c r="AU57" s="885"/>
      <c r="AV57" s="886">
        <f t="shared" si="0"/>
        <v>0</v>
      </c>
      <c r="AW57" s="885">
        <f t="shared" si="0"/>
        <v>0</v>
      </c>
      <c r="AX57" s="886"/>
      <c r="AY57" s="885"/>
      <c r="AZ57" s="886">
        <f t="shared" si="1"/>
        <v>0</v>
      </c>
      <c r="BA57" s="887">
        <f t="shared" si="1"/>
        <v>0</v>
      </c>
    </row>
    <row r="58" spans="1:53" ht="14.25">
      <c r="A58" s="789" t="s">
        <v>0</v>
      </c>
      <c r="B58" s="884"/>
      <c r="C58" s="885"/>
      <c r="D58" s="886"/>
      <c r="E58" s="885"/>
      <c r="F58" s="886"/>
      <c r="G58" s="885"/>
      <c r="H58" s="886"/>
      <c r="I58" s="885"/>
      <c r="J58" s="886"/>
      <c r="K58" s="885"/>
      <c r="L58" s="886"/>
      <c r="M58" s="887"/>
      <c r="N58" s="884"/>
      <c r="O58" s="887"/>
      <c r="P58" s="884"/>
      <c r="Q58" s="887"/>
      <c r="R58" s="884"/>
      <c r="S58" s="887"/>
      <c r="T58" s="884"/>
      <c r="U58" s="887"/>
      <c r="V58" s="884"/>
      <c r="W58" s="887"/>
      <c r="X58" s="884"/>
      <c r="Y58" s="885"/>
      <c r="Z58" s="886"/>
      <c r="AA58" s="885"/>
      <c r="AB58" s="886"/>
      <c r="AC58" s="887"/>
      <c r="AD58" s="884"/>
      <c r="AE58" s="885"/>
      <c r="AF58" s="886"/>
      <c r="AG58" s="885"/>
      <c r="AH58" s="886"/>
      <c r="AI58" s="887"/>
      <c r="AJ58" s="884"/>
      <c r="AK58" s="885"/>
      <c r="AL58" s="886"/>
      <c r="AM58" s="885"/>
      <c r="AN58" s="886"/>
      <c r="AO58" s="885"/>
      <c r="AP58" s="886"/>
      <c r="AQ58" s="885"/>
      <c r="AR58" s="886"/>
      <c r="AS58" s="885"/>
      <c r="AT58" s="886"/>
      <c r="AU58" s="885"/>
      <c r="AV58" s="886">
        <f t="shared" si="0"/>
        <v>0</v>
      </c>
      <c r="AW58" s="885">
        <f t="shared" si="0"/>
        <v>0</v>
      </c>
      <c r="AX58" s="886"/>
      <c r="AY58" s="885"/>
      <c r="AZ58" s="886">
        <f t="shared" si="1"/>
        <v>0</v>
      </c>
      <c r="BA58" s="887">
        <f t="shared" si="1"/>
        <v>0</v>
      </c>
    </row>
    <row r="59" spans="1:53" ht="14.25">
      <c r="A59" s="317" t="s">
        <v>328</v>
      </c>
      <c r="B59" s="884">
        <v>6524587</v>
      </c>
      <c r="C59" s="885">
        <v>4752954</v>
      </c>
      <c r="D59" s="886"/>
      <c r="E59" s="885"/>
      <c r="F59" s="886"/>
      <c r="G59" s="885"/>
      <c r="H59" s="886"/>
      <c r="I59" s="885"/>
      <c r="J59" s="886"/>
      <c r="K59" s="885"/>
      <c r="L59" s="886"/>
      <c r="M59" s="887"/>
      <c r="N59" s="884">
        <v>949</v>
      </c>
      <c r="O59" s="887">
        <v>8192</v>
      </c>
      <c r="P59" s="884"/>
      <c r="Q59" s="887"/>
      <c r="R59" s="884"/>
      <c r="S59" s="887">
        <v>300000</v>
      </c>
      <c r="T59" s="884"/>
      <c r="U59" s="887"/>
      <c r="V59" s="884">
        <v>20573536</v>
      </c>
      <c r="W59" s="887">
        <v>17678570</v>
      </c>
      <c r="X59" s="884">
        <v>4500000</v>
      </c>
      <c r="Y59" s="885">
        <v>10334631</v>
      </c>
      <c r="Z59" s="886"/>
      <c r="AA59" s="885"/>
      <c r="AB59" s="886"/>
      <c r="AC59" s="887"/>
      <c r="AD59" s="884">
        <v>3136885</v>
      </c>
      <c r="AE59" s="885">
        <v>2313668</v>
      </c>
      <c r="AF59" s="886"/>
      <c r="AG59" s="885"/>
      <c r="AH59" s="886">
        <v>4550000</v>
      </c>
      <c r="AI59" s="887">
        <v>3250000</v>
      </c>
      <c r="AJ59" s="884">
        <v>311248</v>
      </c>
      <c r="AK59" s="885">
        <v>139780</v>
      </c>
      <c r="AL59" s="886"/>
      <c r="AM59" s="885"/>
      <c r="AN59" s="886">
        <v>8600000</v>
      </c>
      <c r="AO59" s="885">
        <v>11900000</v>
      </c>
      <c r="AP59" s="886"/>
      <c r="AQ59" s="885"/>
      <c r="AR59" s="886">
        <v>7400</v>
      </c>
      <c r="AS59" s="885">
        <v>7400</v>
      </c>
      <c r="AT59" s="886">
        <v>21720</v>
      </c>
      <c r="AU59" s="885">
        <v>13788</v>
      </c>
      <c r="AV59" s="886">
        <f t="shared" si="0"/>
        <v>48226325</v>
      </c>
      <c r="AW59" s="885">
        <f t="shared" si="0"/>
        <v>50698983</v>
      </c>
      <c r="AX59" s="886">
        <v>2004</v>
      </c>
      <c r="AY59" s="885">
        <v>23369588</v>
      </c>
      <c r="AZ59" s="886">
        <f t="shared" si="1"/>
        <v>48228329</v>
      </c>
      <c r="BA59" s="887">
        <f t="shared" si="1"/>
        <v>74068571</v>
      </c>
    </row>
    <row r="60" spans="1:53" ht="14.25">
      <c r="A60" s="317" t="s">
        <v>329</v>
      </c>
      <c r="B60" s="884">
        <v>22149</v>
      </c>
      <c r="C60" s="885">
        <v>21467</v>
      </c>
      <c r="D60" s="886"/>
      <c r="E60" s="885"/>
      <c r="F60" s="886"/>
      <c r="G60" s="885"/>
      <c r="H60" s="886"/>
      <c r="I60" s="885"/>
      <c r="J60" s="886"/>
      <c r="K60" s="885"/>
      <c r="L60" s="886"/>
      <c r="M60" s="887"/>
      <c r="N60" s="884">
        <v>3990</v>
      </c>
      <c r="O60" s="887">
        <v>1627</v>
      </c>
      <c r="P60" s="884"/>
      <c r="Q60" s="887"/>
      <c r="R60" s="884"/>
      <c r="S60" s="887"/>
      <c r="T60" s="884">
        <v>14887</v>
      </c>
      <c r="U60" s="887">
        <v>48902</v>
      </c>
      <c r="V60" s="884"/>
      <c r="W60" s="887"/>
      <c r="X60" s="884">
        <f>1034+41321+9023</f>
        <v>51378</v>
      </c>
      <c r="Y60" s="885">
        <f>1176+41354+8523</f>
        <v>51053</v>
      </c>
      <c r="Z60" s="886"/>
      <c r="AA60" s="885"/>
      <c r="AB60" s="886"/>
      <c r="AC60" s="887"/>
      <c r="AD60" s="884">
        <v>4113</v>
      </c>
      <c r="AE60" s="885">
        <v>4791</v>
      </c>
      <c r="AF60" s="886"/>
      <c r="AG60" s="885"/>
      <c r="AH60" s="886">
        <v>64772</v>
      </c>
      <c r="AI60" s="887">
        <v>6411</v>
      </c>
      <c r="AJ60" s="884">
        <v>9101</v>
      </c>
      <c r="AK60" s="885">
        <v>9033</v>
      </c>
      <c r="AL60" s="886"/>
      <c r="AM60" s="885"/>
      <c r="AN60" s="886">
        <v>6911</v>
      </c>
      <c r="AO60" s="885">
        <v>6429</v>
      </c>
      <c r="AP60" s="886"/>
      <c r="AQ60" s="885"/>
      <c r="AR60" s="886"/>
      <c r="AS60" s="885"/>
      <c r="AT60" s="886"/>
      <c r="AU60" s="885"/>
      <c r="AV60" s="886">
        <f t="shared" si="0"/>
        <v>177301</v>
      </c>
      <c r="AW60" s="885">
        <f t="shared" si="0"/>
        <v>149713</v>
      </c>
      <c r="AX60" s="886">
        <v>45699</v>
      </c>
      <c r="AY60" s="885">
        <v>136655</v>
      </c>
      <c r="AZ60" s="886">
        <f t="shared" si="1"/>
        <v>223000</v>
      </c>
      <c r="BA60" s="887">
        <f t="shared" si="1"/>
        <v>286368</v>
      </c>
    </row>
    <row r="61" spans="1:53" ht="14.25">
      <c r="A61" s="317" t="s">
        <v>330</v>
      </c>
      <c r="B61" s="884"/>
      <c r="C61" s="885"/>
      <c r="D61" s="886"/>
      <c r="E61" s="885"/>
      <c r="F61" s="886"/>
      <c r="G61" s="885"/>
      <c r="H61" s="886"/>
      <c r="I61" s="885"/>
      <c r="J61" s="886"/>
      <c r="K61" s="885"/>
      <c r="L61" s="886"/>
      <c r="M61" s="887"/>
      <c r="N61" s="884"/>
      <c r="O61" s="887"/>
      <c r="P61" s="884"/>
      <c r="Q61" s="887"/>
      <c r="R61" s="884"/>
      <c r="S61" s="887"/>
      <c r="T61" s="884"/>
      <c r="U61" s="887"/>
      <c r="V61" s="884">
        <v>1423</v>
      </c>
      <c r="W61" s="887">
        <v>53</v>
      </c>
      <c r="X61" s="884"/>
      <c r="Y61" s="885"/>
      <c r="Z61" s="886"/>
      <c r="AA61" s="885"/>
      <c r="AB61" s="886"/>
      <c r="AC61" s="887"/>
      <c r="AD61" s="884"/>
      <c r="AE61" s="885"/>
      <c r="AF61" s="886"/>
      <c r="AG61" s="885"/>
      <c r="AH61" s="886"/>
      <c r="AI61" s="887"/>
      <c r="AJ61" s="884"/>
      <c r="AK61" s="885"/>
      <c r="AL61" s="886"/>
      <c r="AM61" s="885"/>
      <c r="AN61" s="886"/>
      <c r="AO61" s="885"/>
      <c r="AP61" s="886"/>
      <c r="AQ61" s="885"/>
      <c r="AR61" s="886"/>
      <c r="AS61" s="885"/>
      <c r="AT61" s="886"/>
      <c r="AU61" s="885"/>
      <c r="AV61" s="886">
        <f t="shared" si="0"/>
        <v>1423</v>
      </c>
      <c r="AW61" s="885">
        <f t="shared" si="0"/>
        <v>53</v>
      </c>
      <c r="AX61" s="886"/>
      <c r="AY61" s="885"/>
      <c r="AZ61" s="886">
        <f t="shared" si="1"/>
        <v>1423</v>
      </c>
      <c r="BA61" s="887">
        <f t="shared" si="1"/>
        <v>53</v>
      </c>
    </row>
    <row r="62" spans="1:53" ht="14.25">
      <c r="A62" s="317" t="s">
        <v>331</v>
      </c>
      <c r="B62" s="884">
        <v>2500</v>
      </c>
      <c r="C62" s="885">
        <v>2500</v>
      </c>
      <c r="D62" s="886">
        <v>2500</v>
      </c>
      <c r="E62" s="885">
        <v>2500</v>
      </c>
      <c r="F62" s="886"/>
      <c r="G62" s="885"/>
      <c r="H62" s="886"/>
      <c r="I62" s="885"/>
      <c r="J62" s="886"/>
      <c r="K62" s="885"/>
      <c r="L62" s="886"/>
      <c r="M62" s="887"/>
      <c r="N62" s="884"/>
      <c r="O62" s="887"/>
      <c r="P62" s="884"/>
      <c r="Q62" s="887"/>
      <c r="R62" s="884"/>
      <c r="S62" s="887"/>
      <c r="T62" s="884"/>
      <c r="U62" s="887"/>
      <c r="V62" s="884">
        <v>3470</v>
      </c>
      <c r="W62" s="887">
        <v>3496</v>
      </c>
      <c r="X62" s="884"/>
      <c r="Y62" s="885"/>
      <c r="Z62" s="886"/>
      <c r="AA62" s="885"/>
      <c r="AB62" s="886"/>
      <c r="AC62" s="887"/>
      <c r="AD62" s="884">
        <v>4504</v>
      </c>
      <c r="AE62" s="885">
        <v>4504</v>
      </c>
      <c r="AF62" s="886"/>
      <c r="AG62" s="885"/>
      <c r="AH62" s="886">
        <v>2500</v>
      </c>
      <c r="AI62" s="887">
        <v>4026</v>
      </c>
      <c r="AJ62" s="884">
        <v>1027</v>
      </c>
      <c r="AK62" s="885">
        <v>1089</v>
      </c>
      <c r="AL62" s="886"/>
      <c r="AM62" s="885"/>
      <c r="AN62" s="886"/>
      <c r="AO62" s="885"/>
      <c r="AP62" s="886"/>
      <c r="AQ62" s="885"/>
      <c r="AR62" s="886"/>
      <c r="AS62" s="885"/>
      <c r="AT62" s="886">
        <v>8560</v>
      </c>
      <c r="AU62" s="885">
        <v>8560</v>
      </c>
      <c r="AV62" s="886">
        <f t="shared" si="0"/>
        <v>25061</v>
      </c>
      <c r="AW62" s="885">
        <f t="shared" si="0"/>
        <v>26675</v>
      </c>
      <c r="AX62" s="886"/>
      <c r="AY62" s="885"/>
      <c r="AZ62" s="886">
        <f t="shared" si="1"/>
        <v>25061</v>
      </c>
      <c r="BA62" s="887">
        <f t="shared" si="1"/>
        <v>26675</v>
      </c>
    </row>
    <row r="63" spans="1:53" ht="14.25">
      <c r="A63" s="317" t="s">
        <v>332</v>
      </c>
      <c r="B63" s="884"/>
      <c r="C63" s="885"/>
      <c r="D63" s="886">
        <v>82052</v>
      </c>
      <c r="E63" s="885">
        <v>82052</v>
      </c>
      <c r="F63" s="886"/>
      <c r="G63" s="885"/>
      <c r="H63" s="886"/>
      <c r="I63" s="885"/>
      <c r="J63" s="886"/>
      <c r="K63" s="885"/>
      <c r="L63" s="886">
        <v>2550</v>
      </c>
      <c r="M63" s="887">
        <v>5050</v>
      </c>
      <c r="N63" s="884">
        <v>131998</v>
      </c>
      <c r="O63" s="887">
        <v>124808</v>
      </c>
      <c r="P63" s="884">
        <v>35660</v>
      </c>
      <c r="Q63" s="887">
        <v>35407</v>
      </c>
      <c r="R63" s="884">
        <v>2876459</v>
      </c>
      <c r="S63" s="887">
        <v>2535645</v>
      </c>
      <c r="T63" s="884">
        <v>42529</v>
      </c>
      <c r="U63" s="887">
        <v>45773</v>
      </c>
      <c r="V63" s="884">
        <v>966503</v>
      </c>
      <c r="W63" s="887">
        <v>708718</v>
      </c>
      <c r="X63" s="884">
        <f>Y63</f>
        <v>1536996</v>
      </c>
      <c r="Y63" s="885">
        <v>1536996</v>
      </c>
      <c r="Z63" s="886">
        <v>519126</v>
      </c>
      <c r="AA63" s="885">
        <v>488973</v>
      </c>
      <c r="AB63" s="886">
        <v>772088</v>
      </c>
      <c r="AC63" s="887">
        <v>283029</v>
      </c>
      <c r="AD63" s="884">
        <v>1475538</v>
      </c>
      <c r="AE63" s="885">
        <v>2201520</v>
      </c>
      <c r="AF63" s="886"/>
      <c r="AG63" s="885"/>
      <c r="AH63" s="886">
        <v>150627</v>
      </c>
      <c r="AI63" s="887">
        <v>150627</v>
      </c>
      <c r="AJ63" s="884">
        <v>1611323</v>
      </c>
      <c r="AK63" s="885">
        <v>1611323</v>
      </c>
      <c r="AL63" s="886"/>
      <c r="AM63" s="885"/>
      <c r="AN63" s="886"/>
      <c r="AO63" s="885"/>
      <c r="AP63" s="886">
        <v>161037</v>
      </c>
      <c r="AQ63" s="885"/>
      <c r="AR63" s="886">
        <v>742797</v>
      </c>
      <c r="AS63" s="885">
        <v>646288</v>
      </c>
      <c r="AT63" s="886"/>
      <c r="AU63" s="885"/>
      <c r="AV63" s="886">
        <f t="shared" si="0"/>
        <v>11107283</v>
      </c>
      <c r="AW63" s="885">
        <f t="shared" si="0"/>
        <v>10456209</v>
      </c>
      <c r="AX63" s="886">
        <v>188364460</v>
      </c>
      <c r="AY63" s="885">
        <v>252658523</v>
      </c>
      <c r="AZ63" s="886">
        <f t="shared" si="1"/>
        <v>199471743</v>
      </c>
      <c r="BA63" s="887">
        <f t="shared" si="1"/>
        <v>263114732</v>
      </c>
    </row>
    <row r="64" spans="1:53" ht="14.25">
      <c r="A64" s="317" t="s">
        <v>333</v>
      </c>
      <c r="B64" s="884"/>
      <c r="C64" s="885"/>
      <c r="D64" s="886"/>
      <c r="E64" s="885"/>
      <c r="F64" s="886"/>
      <c r="G64" s="885"/>
      <c r="H64" s="886"/>
      <c r="I64" s="885"/>
      <c r="J64" s="886"/>
      <c r="K64" s="885"/>
      <c r="L64" s="886">
        <v>1415427</v>
      </c>
      <c r="M64" s="887">
        <v>1493822</v>
      </c>
      <c r="N64" s="884"/>
      <c r="O64" s="887"/>
      <c r="P64" s="884"/>
      <c r="Q64" s="887"/>
      <c r="R64" s="884"/>
      <c r="S64" s="887"/>
      <c r="T64" s="884"/>
      <c r="U64" s="887"/>
      <c r="V64" s="884"/>
      <c r="W64" s="887"/>
      <c r="X64" s="884"/>
      <c r="Y64" s="885"/>
      <c r="Z64" s="886"/>
      <c r="AA64" s="885"/>
      <c r="AB64" s="886"/>
      <c r="AC64" s="887"/>
      <c r="AD64" s="884"/>
      <c r="AE64" s="885"/>
      <c r="AF64" s="886"/>
      <c r="AG64" s="885"/>
      <c r="AH64" s="886"/>
      <c r="AI64" s="887"/>
      <c r="AJ64" s="884"/>
      <c r="AK64" s="885"/>
      <c r="AL64" s="886"/>
      <c r="AM64" s="885"/>
      <c r="AN64" s="886"/>
      <c r="AO64" s="885"/>
      <c r="AP64" s="886"/>
      <c r="AQ64" s="885"/>
      <c r="AR64" s="886"/>
      <c r="AS64" s="885"/>
      <c r="AT64" s="886"/>
      <c r="AU64" s="885"/>
      <c r="AV64" s="886">
        <f t="shared" si="0"/>
        <v>1415427</v>
      </c>
      <c r="AW64" s="885">
        <f t="shared" si="0"/>
        <v>1493822</v>
      </c>
      <c r="AX64" s="886"/>
      <c r="AY64" s="885"/>
      <c r="AZ64" s="886">
        <f t="shared" si="1"/>
        <v>1415427</v>
      </c>
      <c r="BA64" s="887">
        <f t="shared" si="1"/>
        <v>1493822</v>
      </c>
    </row>
    <row r="65" spans="1:53" ht="14.25">
      <c r="A65" s="317" t="s">
        <v>334</v>
      </c>
      <c r="B65" s="884"/>
      <c r="C65" s="885"/>
      <c r="D65" s="886">
        <v>66643</v>
      </c>
      <c r="E65" s="885">
        <v>73168</v>
      </c>
      <c r="F65" s="886"/>
      <c r="G65" s="885"/>
      <c r="H65" s="886">
        <v>478782</v>
      </c>
      <c r="I65" s="885">
        <v>553207</v>
      </c>
      <c r="J65" s="886"/>
      <c r="K65" s="885"/>
      <c r="L65" s="886">
        <v>208883</v>
      </c>
      <c r="M65" s="887">
        <v>296283</v>
      </c>
      <c r="N65" s="884"/>
      <c r="O65" s="887"/>
      <c r="P65" s="884"/>
      <c r="Q65" s="887"/>
      <c r="R65" s="884"/>
      <c r="S65" s="887"/>
      <c r="T65" s="884">
        <v>2567</v>
      </c>
      <c r="U65" s="887">
        <v>72337</v>
      </c>
      <c r="V65" s="884"/>
      <c r="W65" s="887"/>
      <c r="X65" s="884">
        <f>71381+489857</f>
        <v>561238</v>
      </c>
      <c r="Y65" s="885">
        <f>71963+729371</f>
        <v>801334</v>
      </c>
      <c r="Z65" s="886"/>
      <c r="AA65" s="885"/>
      <c r="AB65" s="886"/>
      <c r="AC65" s="887"/>
      <c r="AD65" s="884"/>
      <c r="AE65" s="885"/>
      <c r="AF65" s="886"/>
      <c r="AG65" s="885"/>
      <c r="AH65" s="886">
        <v>384054</v>
      </c>
      <c r="AI65" s="887">
        <v>468256</v>
      </c>
      <c r="AJ65" s="884"/>
      <c r="AK65" s="885"/>
      <c r="AL65" s="886"/>
      <c r="AM65" s="885"/>
      <c r="AN65" s="886">
        <v>1182566</v>
      </c>
      <c r="AO65" s="885">
        <v>1595020</v>
      </c>
      <c r="AP65" s="886"/>
      <c r="AQ65" s="885"/>
      <c r="AR65" s="886">
        <f>76702+20928</f>
        <v>97630</v>
      </c>
      <c r="AS65" s="885">
        <f>66534+21859</f>
        <v>88393</v>
      </c>
      <c r="AT65" s="886"/>
      <c r="AU65" s="885"/>
      <c r="AV65" s="886">
        <f t="shared" si="0"/>
        <v>2982363</v>
      </c>
      <c r="AW65" s="885">
        <f t="shared" si="0"/>
        <v>3947998</v>
      </c>
      <c r="AX65" s="886"/>
      <c r="AY65" s="885"/>
      <c r="AZ65" s="886">
        <f t="shared" si="1"/>
        <v>2982363</v>
      </c>
      <c r="BA65" s="887">
        <f t="shared" si="1"/>
        <v>3947998</v>
      </c>
    </row>
    <row r="66" spans="1:53" ht="14.25">
      <c r="A66" s="317" t="s">
        <v>75</v>
      </c>
      <c r="B66" s="884">
        <v>449002</v>
      </c>
      <c r="C66" s="885">
        <v>450446</v>
      </c>
      <c r="D66" s="886">
        <v>1928</v>
      </c>
      <c r="E66" s="885">
        <v>1928</v>
      </c>
      <c r="F66" s="886"/>
      <c r="G66" s="885"/>
      <c r="H66" s="886">
        <v>59636</v>
      </c>
      <c r="I66" s="885">
        <v>65600</v>
      </c>
      <c r="J66" s="886"/>
      <c r="K66" s="885"/>
      <c r="L66" s="886"/>
      <c r="M66" s="887"/>
      <c r="N66" s="884">
        <f>8115+133743</f>
        <v>141858</v>
      </c>
      <c r="O66" s="887">
        <f>8115+158040</f>
        <v>166155</v>
      </c>
      <c r="P66" s="884">
        <v>8864</v>
      </c>
      <c r="Q66" s="887">
        <v>4624</v>
      </c>
      <c r="R66" s="884">
        <f>281803+630808</f>
        <v>912611</v>
      </c>
      <c r="S66" s="887">
        <f>268425+714015</f>
        <v>982440</v>
      </c>
      <c r="T66" s="884"/>
      <c r="U66" s="887">
        <v>911111</v>
      </c>
      <c r="V66" s="884">
        <v>383808</v>
      </c>
      <c r="W66" s="887">
        <v>421360</v>
      </c>
      <c r="X66" s="884"/>
      <c r="Y66" s="885"/>
      <c r="Z66" s="886">
        <v>134478</v>
      </c>
      <c r="AA66" s="885">
        <v>143625</v>
      </c>
      <c r="AB66" s="886"/>
      <c r="AC66" s="887"/>
      <c r="AD66" s="884">
        <v>121163</v>
      </c>
      <c r="AE66" s="885">
        <v>136494</v>
      </c>
      <c r="AF66" s="886"/>
      <c r="AG66" s="885"/>
      <c r="AH66" s="886"/>
      <c r="AI66" s="887"/>
      <c r="AJ66" s="884">
        <v>319112</v>
      </c>
      <c r="AK66" s="885">
        <v>337510</v>
      </c>
      <c r="AL66" s="886"/>
      <c r="AM66" s="885"/>
      <c r="AN66" s="886">
        <v>3778849</v>
      </c>
      <c r="AO66" s="885">
        <v>1099880</v>
      </c>
      <c r="AP66" s="886">
        <v>36100</v>
      </c>
      <c r="AQ66" s="885">
        <v>56665</v>
      </c>
      <c r="AR66" s="886"/>
      <c r="AS66" s="885"/>
      <c r="AT66" s="886">
        <f>2662+28975+98882</f>
        <v>130519</v>
      </c>
      <c r="AU66" s="885">
        <f>7439+29024+161758</f>
        <v>198221</v>
      </c>
      <c r="AV66" s="886">
        <f t="shared" si="0"/>
        <v>6477928</v>
      </c>
      <c r="AW66" s="885">
        <f t="shared" si="0"/>
        <v>4976059</v>
      </c>
      <c r="AX66" s="886">
        <f>4010137+5229957</f>
        <v>9240094</v>
      </c>
      <c r="AY66" s="885">
        <f>3971076+756972</f>
        <v>4728048</v>
      </c>
      <c r="AZ66" s="886">
        <f t="shared" si="1"/>
        <v>15718022</v>
      </c>
      <c r="BA66" s="887">
        <f t="shared" si="1"/>
        <v>9704107</v>
      </c>
    </row>
    <row r="67" spans="1:53" s="61" customFormat="1" ht="15" thickBot="1">
      <c r="A67" s="899" t="s">
        <v>54</v>
      </c>
      <c r="B67" s="900"/>
      <c r="C67" s="901"/>
      <c r="D67" s="902">
        <v>153123</v>
      </c>
      <c r="E67" s="901">
        <v>159648</v>
      </c>
      <c r="F67" s="902"/>
      <c r="G67" s="901"/>
      <c r="H67" s="902">
        <v>538419</v>
      </c>
      <c r="I67" s="901">
        <v>618807</v>
      </c>
      <c r="J67" s="902"/>
      <c r="K67" s="901"/>
      <c r="L67" s="886">
        <v>1626860</v>
      </c>
      <c r="M67" s="887">
        <v>1795155</v>
      </c>
      <c r="N67" s="900">
        <v>278795</v>
      </c>
      <c r="O67" s="903">
        <v>300783</v>
      </c>
      <c r="P67" s="900"/>
      <c r="Q67" s="903"/>
      <c r="R67" s="900">
        <v>3789070</v>
      </c>
      <c r="S67" s="903">
        <v>3818085</v>
      </c>
      <c r="T67" s="900">
        <v>59983</v>
      </c>
      <c r="U67" s="903">
        <v>1078123</v>
      </c>
      <c r="V67" s="900">
        <v>21928740</v>
      </c>
      <c r="W67" s="903">
        <v>18812197</v>
      </c>
      <c r="X67" s="900">
        <v>6649612</v>
      </c>
      <c r="Y67" s="901">
        <v>12724014</v>
      </c>
      <c r="Z67" s="902">
        <v>653604</v>
      </c>
      <c r="AA67" s="901">
        <v>632598</v>
      </c>
      <c r="AB67" s="902">
        <v>367458</v>
      </c>
      <c r="AC67" s="903">
        <v>372291</v>
      </c>
      <c r="AD67" s="900"/>
      <c r="AE67" s="901"/>
      <c r="AF67" s="902"/>
      <c r="AG67" s="901"/>
      <c r="AH67" s="902">
        <v>5151953</v>
      </c>
      <c r="AI67" s="903">
        <v>3879320</v>
      </c>
      <c r="AJ67" s="900">
        <v>2251811</v>
      </c>
      <c r="AK67" s="901">
        <v>2398735</v>
      </c>
      <c r="AL67" s="902"/>
      <c r="AM67" s="901"/>
      <c r="AN67" s="902">
        <v>13568325</v>
      </c>
      <c r="AO67" s="901">
        <v>14601329</v>
      </c>
      <c r="AP67" s="902">
        <v>197137</v>
      </c>
      <c r="AQ67" s="901">
        <v>56665</v>
      </c>
      <c r="AR67" s="902">
        <v>847827</v>
      </c>
      <c r="AS67" s="901">
        <v>742081</v>
      </c>
      <c r="AT67" s="902">
        <v>160799</v>
      </c>
      <c r="AU67" s="901">
        <v>220567</v>
      </c>
      <c r="AV67" s="902">
        <f t="shared" si="0"/>
        <v>58223516</v>
      </c>
      <c r="AW67" s="901">
        <f t="shared" si="0"/>
        <v>62210398</v>
      </c>
      <c r="AX67" s="902">
        <v>192945257</v>
      </c>
      <c r="AY67" s="901">
        <v>280892814</v>
      </c>
      <c r="AZ67" s="902">
        <f t="shared" si="1"/>
        <v>251168773</v>
      </c>
      <c r="BA67" s="903">
        <f t="shared" si="1"/>
        <v>343103212</v>
      </c>
    </row>
  </sheetData>
  <sheetProtection/>
  <mergeCells count="26">
    <mergeCell ref="AX1:AY1"/>
    <mergeCell ref="AZ1:BA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16" sqref="J16"/>
    </sheetView>
  </sheetViews>
  <sheetFormatPr defaultColWidth="9.140625" defaultRowHeight="15"/>
  <cols>
    <col min="1" max="1" width="30.421875" style="0" bestFit="1" customWidth="1"/>
    <col min="2" max="2" width="11.7109375" style="0" customWidth="1"/>
    <col min="3" max="3" width="12.8515625" style="0" bestFit="1" customWidth="1"/>
    <col min="4" max="4" width="11.7109375" style="0" bestFit="1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1.7109375" style="0" bestFit="1" customWidth="1"/>
    <col min="9" max="9" width="12.8515625" style="0" bestFit="1" customWidth="1"/>
    <col min="10" max="10" width="11.7109375" style="0" bestFit="1" customWidth="1"/>
    <col min="11" max="11" width="12.8515625" style="0" bestFit="1" customWidth="1"/>
    <col min="12" max="12" width="11.7109375" style="0" bestFit="1" customWidth="1"/>
    <col min="13" max="13" width="12.8515625" style="0" bestFit="1" customWidth="1"/>
    <col min="14" max="14" width="11.7109375" style="0" bestFit="1" customWidth="1"/>
    <col min="15" max="15" width="12.8515625" style="0" bestFit="1" customWidth="1"/>
    <col min="16" max="16" width="11.7109375" style="0" bestFit="1" customWidth="1"/>
    <col min="17" max="17" width="12.8515625" style="0" bestFit="1" customWidth="1"/>
    <col min="18" max="18" width="11.7109375" style="0" bestFit="1" customWidth="1"/>
    <col min="19" max="19" width="12.8515625" style="0" bestFit="1" customWidth="1"/>
    <col min="20" max="20" width="11.7109375" style="0" bestFit="1" customWidth="1"/>
    <col min="21" max="21" width="12.8515625" style="0" bestFit="1" customWidth="1"/>
    <col min="22" max="22" width="11.7109375" style="0" bestFit="1" customWidth="1"/>
    <col min="23" max="23" width="12.8515625" style="0" bestFit="1" customWidth="1"/>
    <col min="24" max="24" width="11.7109375" style="0" bestFit="1" customWidth="1"/>
    <col min="25" max="25" width="12.8515625" style="0" bestFit="1" customWidth="1"/>
    <col min="26" max="26" width="11.7109375" style="0" bestFit="1" customWidth="1"/>
    <col min="27" max="27" width="12.8515625" style="0" bestFit="1" customWidth="1"/>
    <col min="28" max="28" width="11.7109375" style="0" bestFit="1" customWidth="1"/>
    <col min="29" max="29" width="12.8515625" style="0" bestFit="1" customWidth="1"/>
    <col min="30" max="30" width="11.7109375" style="0" bestFit="1" customWidth="1"/>
    <col min="31" max="31" width="12.8515625" style="0" bestFit="1" customWidth="1"/>
    <col min="32" max="32" width="11.7109375" style="0" bestFit="1" customWidth="1"/>
    <col min="33" max="33" width="12.8515625" style="0" bestFit="1" customWidth="1"/>
    <col min="34" max="34" width="11.7109375" style="0" bestFit="1" customWidth="1"/>
    <col min="35" max="35" width="12.8515625" style="0" bestFit="1" customWidth="1"/>
    <col min="36" max="36" width="11.7109375" style="0" bestFit="1" customWidth="1"/>
    <col min="37" max="37" width="12.8515625" style="0" bestFit="1" customWidth="1"/>
    <col min="38" max="38" width="11.7109375" style="0" bestFit="1" customWidth="1"/>
    <col min="39" max="39" width="12.8515625" style="0" bestFit="1" customWidth="1"/>
    <col min="40" max="40" width="11.7109375" style="0" bestFit="1" customWidth="1"/>
    <col min="41" max="41" width="12.8515625" style="0" bestFit="1" customWidth="1"/>
    <col min="42" max="42" width="11.7109375" style="0" bestFit="1" customWidth="1"/>
    <col min="43" max="43" width="12.8515625" style="0" bestFit="1" customWidth="1"/>
    <col min="44" max="44" width="11.7109375" style="0" bestFit="1" customWidth="1"/>
    <col min="45" max="45" width="12.8515625" style="0" bestFit="1" customWidth="1"/>
    <col min="46" max="46" width="11.7109375" style="0" bestFit="1" customWidth="1"/>
    <col min="47" max="47" width="12.8515625" style="0" bestFit="1" customWidth="1"/>
    <col min="48" max="48" width="11.7109375" style="0" bestFit="1" customWidth="1"/>
    <col min="49" max="49" width="12.8515625" style="0" bestFit="1" customWidth="1"/>
    <col min="50" max="50" width="11.7109375" style="0" bestFit="1" customWidth="1"/>
    <col min="51" max="51" width="12.8515625" style="0" bestFit="1" customWidth="1"/>
    <col min="52" max="52" width="11.7109375" style="0" bestFit="1" customWidth="1"/>
    <col min="53" max="53" width="12.8515625" style="0" bestFit="1" customWidth="1"/>
    <col min="54" max="54" width="10.7109375" style="0" customWidth="1"/>
    <col min="55" max="55" width="12.00390625" style="0" customWidth="1"/>
  </cols>
  <sheetData>
    <row r="1" spans="1:52" s="74" customFormat="1" ht="18">
      <c r="A1" s="945" t="s">
        <v>58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5"/>
      <c r="X1" s="945"/>
      <c r="Y1" s="945"/>
      <c r="Z1" s="945"/>
      <c r="AA1" s="945"/>
      <c r="AB1" s="945"/>
      <c r="AC1" s="945"/>
      <c r="AD1" s="945"/>
      <c r="AE1" s="945"/>
      <c r="AF1" s="945"/>
      <c r="AG1" s="945"/>
      <c r="AH1" s="945"/>
      <c r="AI1" s="945"/>
      <c r="AJ1" s="945"/>
      <c r="AK1" s="945"/>
      <c r="AL1" s="945"/>
      <c r="AM1" s="945"/>
      <c r="AN1" s="945"/>
      <c r="AO1" s="945"/>
      <c r="AP1" s="945"/>
      <c r="AQ1" s="945"/>
      <c r="AR1" s="945"/>
      <c r="AS1" s="945"/>
      <c r="AT1" s="945"/>
      <c r="AU1" s="945"/>
      <c r="AV1" s="945"/>
      <c r="AW1" s="945"/>
      <c r="AX1" s="945"/>
      <c r="AY1" s="945"/>
      <c r="AZ1" s="945"/>
    </row>
    <row r="2" spans="1:52" s="365" customFormat="1" ht="18" thickBot="1">
      <c r="A2" s="993" t="s">
        <v>59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3"/>
      <c r="X2" s="993"/>
      <c r="Y2" s="993"/>
      <c r="Z2" s="993"/>
      <c r="AA2" s="993"/>
      <c r="AB2" s="993"/>
      <c r="AC2" s="993"/>
      <c r="AD2" s="993"/>
      <c r="AE2" s="993"/>
      <c r="AF2" s="993"/>
      <c r="AG2" s="993"/>
      <c r="AH2" s="993"/>
      <c r="AI2" s="993"/>
      <c r="AJ2" s="993"/>
      <c r="AK2" s="993"/>
      <c r="AL2" s="993"/>
      <c r="AM2" s="993"/>
      <c r="AN2" s="993"/>
      <c r="AO2" s="993"/>
      <c r="AP2" s="993"/>
      <c r="AQ2" s="993"/>
      <c r="AR2" s="993"/>
      <c r="AS2" s="993"/>
      <c r="AT2" s="993"/>
      <c r="AU2" s="993"/>
      <c r="AV2" s="993"/>
      <c r="AW2" s="993"/>
      <c r="AX2" s="993"/>
      <c r="AY2" s="993"/>
      <c r="AZ2" s="993"/>
    </row>
    <row r="3" spans="1:53" s="719" customFormat="1" ht="28.5" customHeight="1" thickBot="1">
      <c r="A3" s="994" t="s">
        <v>0</v>
      </c>
      <c r="B3" s="996" t="s">
        <v>116</v>
      </c>
      <c r="C3" s="997"/>
      <c r="D3" s="992" t="s">
        <v>117</v>
      </c>
      <c r="E3" s="983"/>
      <c r="F3" s="982" t="s">
        <v>118</v>
      </c>
      <c r="G3" s="983"/>
      <c r="H3" s="982" t="s">
        <v>119</v>
      </c>
      <c r="I3" s="992"/>
      <c r="J3" s="982" t="s">
        <v>120</v>
      </c>
      <c r="K3" s="983"/>
      <c r="L3" s="982" t="s">
        <v>121</v>
      </c>
      <c r="M3" s="992"/>
      <c r="N3" s="982" t="s">
        <v>226</v>
      </c>
      <c r="O3" s="983"/>
      <c r="P3" s="984" t="s">
        <v>122</v>
      </c>
      <c r="Q3" s="985"/>
      <c r="R3" s="992" t="s">
        <v>123</v>
      </c>
      <c r="S3" s="992"/>
      <c r="T3" s="982" t="s">
        <v>124</v>
      </c>
      <c r="U3" s="983"/>
      <c r="V3" s="982" t="s">
        <v>125</v>
      </c>
      <c r="W3" s="983"/>
      <c r="X3" s="982" t="s">
        <v>126</v>
      </c>
      <c r="Y3" s="983"/>
      <c r="Z3" s="952" t="s">
        <v>234</v>
      </c>
      <c r="AA3" s="953"/>
      <c r="AB3" s="982" t="s">
        <v>127</v>
      </c>
      <c r="AC3" s="992"/>
      <c r="AD3" s="990" t="s">
        <v>128</v>
      </c>
      <c r="AE3" s="991"/>
      <c r="AF3" s="984" t="s">
        <v>129</v>
      </c>
      <c r="AG3" s="985"/>
      <c r="AH3" s="984" t="s">
        <v>130</v>
      </c>
      <c r="AI3" s="985"/>
      <c r="AJ3" s="992" t="s">
        <v>131</v>
      </c>
      <c r="AK3" s="992"/>
      <c r="AL3" s="990" t="s">
        <v>132</v>
      </c>
      <c r="AM3" s="991"/>
      <c r="AN3" s="984" t="s">
        <v>133</v>
      </c>
      <c r="AO3" s="985"/>
      <c r="AP3" s="988" t="s">
        <v>134</v>
      </c>
      <c r="AQ3" s="988"/>
      <c r="AR3" s="986" t="s">
        <v>135</v>
      </c>
      <c r="AS3" s="987"/>
      <c r="AT3" s="988" t="s">
        <v>136</v>
      </c>
      <c r="AU3" s="988"/>
      <c r="AV3" s="986" t="s">
        <v>1</v>
      </c>
      <c r="AW3" s="987"/>
      <c r="AX3" s="989" t="s">
        <v>137</v>
      </c>
      <c r="AY3" s="989"/>
      <c r="AZ3" s="998" t="s">
        <v>2</v>
      </c>
      <c r="BA3" s="999"/>
    </row>
    <row r="4" spans="1:53" s="367" customFormat="1" ht="15.75" thickBot="1">
      <c r="A4" s="995"/>
      <c r="B4" s="366" t="s">
        <v>228</v>
      </c>
      <c r="C4" s="364" t="s">
        <v>229</v>
      </c>
      <c r="D4" s="366" t="s">
        <v>228</v>
      </c>
      <c r="E4" s="364" t="s">
        <v>229</v>
      </c>
      <c r="F4" s="366" t="s">
        <v>228</v>
      </c>
      <c r="G4" s="364" t="s">
        <v>229</v>
      </c>
      <c r="H4" s="366" t="s">
        <v>228</v>
      </c>
      <c r="I4" s="364" t="s">
        <v>229</v>
      </c>
      <c r="J4" s="366" t="s">
        <v>228</v>
      </c>
      <c r="K4" s="364" t="s">
        <v>229</v>
      </c>
      <c r="L4" s="366" t="s">
        <v>228</v>
      </c>
      <c r="M4" s="364" t="s">
        <v>229</v>
      </c>
      <c r="N4" s="366" t="s">
        <v>228</v>
      </c>
      <c r="O4" s="364" t="s">
        <v>229</v>
      </c>
      <c r="P4" s="366" t="s">
        <v>228</v>
      </c>
      <c r="Q4" s="364" t="s">
        <v>229</v>
      </c>
      <c r="R4" s="366" t="s">
        <v>228</v>
      </c>
      <c r="S4" s="364" t="s">
        <v>229</v>
      </c>
      <c r="T4" s="366" t="s">
        <v>228</v>
      </c>
      <c r="U4" s="364" t="s">
        <v>229</v>
      </c>
      <c r="V4" s="366" t="s">
        <v>228</v>
      </c>
      <c r="W4" s="364" t="s">
        <v>229</v>
      </c>
      <c r="X4" s="366" t="s">
        <v>228</v>
      </c>
      <c r="Y4" s="364" t="s">
        <v>229</v>
      </c>
      <c r="Z4" s="366" t="s">
        <v>228</v>
      </c>
      <c r="AA4" s="364" t="s">
        <v>229</v>
      </c>
      <c r="AB4" s="366" t="s">
        <v>228</v>
      </c>
      <c r="AC4" s="364" t="s">
        <v>229</v>
      </c>
      <c r="AD4" s="366" t="s">
        <v>228</v>
      </c>
      <c r="AE4" s="364" t="s">
        <v>229</v>
      </c>
      <c r="AF4" s="366" t="s">
        <v>228</v>
      </c>
      <c r="AG4" s="364" t="s">
        <v>229</v>
      </c>
      <c r="AH4" s="366" t="s">
        <v>228</v>
      </c>
      <c r="AI4" s="364" t="s">
        <v>229</v>
      </c>
      <c r="AJ4" s="366" t="s">
        <v>228</v>
      </c>
      <c r="AK4" s="364" t="s">
        <v>229</v>
      </c>
      <c r="AL4" s="366" t="s">
        <v>228</v>
      </c>
      <c r="AM4" s="364" t="s">
        <v>229</v>
      </c>
      <c r="AN4" s="366" t="s">
        <v>228</v>
      </c>
      <c r="AO4" s="364" t="s">
        <v>229</v>
      </c>
      <c r="AP4" s="361" t="s">
        <v>228</v>
      </c>
      <c r="AQ4" s="363" t="s">
        <v>229</v>
      </c>
      <c r="AR4" s="361" t="s">
        <v>228</v>
      </c>
      <c r="AS4" s="363" t="s">
        <v>229</v>
      </c>
      <c r="AT4" s="361" t="s">
        <v>228</v>
      </c>
      <c r="AU4" s="363" t="s">
        <v>229</v>
      </c>
      <c r="AV4" s="361" t="s">
        <v>228</v>
      </c>
      <c r="AW4" s="363" t="s">
        <v>229</v>
      </c>
      <c r="AX4" s="361" t="s">
        <v>228</v>
      </c>
      <c r="AY4" s="363" t="s">
        <v>229</v>
      </c>
      <c r="AZ4" s="361" t="s">
        <v>228</v>
      </c>
      <c r="BA4" s="363" t="s">
        <v>229</v>
      </c>
    </row>
    <row r="5" spans="1:53" s="78" customFormat="1" ht="14.25">
      <c r="A5" s="278" t="s">
        <v>21</v>
      </c>
      <c r="B5" s="150"/>
      <c r="C5" s="152"/>
      <c r="D5" s="153"/>
      <c r="E5" s="151"/>
      <c r="F5" s="150"/>
      <c r="G5" s="151"/>
      <c r="H5" s="150"/>
      <c r="I5" s="157"/>
      <c r="J5" s="150"/>
      <c r="K5" s="152"/>
      <c r="L5" s="150"/>
      <c r="M5" s="157"/>
      <c r="N5" s="150"/>
      <c r="O5" s="152"/>
      <c r="P5" s="150"/>
      <c r="Q5" s="152"/>
      <c r="R5" s="153"/>
      <c r="S5" s="157"/>
      <c r="T5" s="150"/>
      <c r="U5" s="152"/>
      <c r="V5" s="158"/>
      <c r="W5" s="154"/>
      <c r="X5" s="177"/>
      <c r="Y5" s="179"/>
      <c r="Z5" s="150"/>
      <c r="AA5" s="152"/>
      <c r="AB5" s="153"/>
      <c r="AC5" s="157"/>
      <c r="AD5" s="150"/>
      <c r="AE5" s="152"/>
      <c r="AF5" s="177"/>
      <c r="AG5" s="179"/>
      <c r="AH5" s="177"/>
      <c r="AI5" s="179"/>
      <c r="AJ5" s="153"/>
      <c r="AK5" s="157"/>
      <c r="AL5" s="177"/>
      <c r="AM5" s="179"/>
      <c r="AN5" s="177"/>
      <c r="AO5" s="179"/>
      <c r="AP5" s="153"/>
      <c r="AQ5" s="157"/>
      <c r="AR5" s="177"/>
      <c r="AS5" s="179"/>
      <c r="AT5" s="600"/>
      <c r="AU5" s="178"/>
      <c r="AV5" s="150"/>
      <c r="AW5" s="279"/>
      <c r="AX5" s="153"/>
      <c r="AY5" s="151"/>
      <c r="AZ5" s="150"/>
      <c r="BA5" s="280"/>
    </row>
    <row r="6" spans="1:53" s="78" customFormat="1" ht="14.25">
      <c r="A6" s="75" t="s">
        <v>22</v>
      </c>
      <c r="B6" s="112"/>
      <c r="C6" s="79"/>
      <c r="D6" s="113"/>
      <c r="E6" s="81"/>
      <c r="F6" s="80"/>
      <c r="G6" s="81"/>
      <c r="H6" s="80"/>
      <c r="I6" s="83"/>
      <c r="J6" s="80"/>
      <c r="K6" s="82"/>
      <c r="L6" s="80"/>
      <c r="M6" s="83"/>
      <c r="N6" s="80"/>
      <c r="O6" s="82"/>
      <c r="P6" s="80"/>
      <c r="Q6" s="82"/>
      <c r="R6" s="113"/>
      <c r="S6" s="83"/>
      <c r="T6" s="80"/>
      <c r="U6" s="82"/>
      <c r="V6" s="84"/>
      <c r="W6" s="86"/>
      <c r="X6" s="80"/>
      <c r="Y6" s="82"/>
      <c r="Z6" s="87"/>
      <c r="AA6" s="88"/>
      <c r="AB6" s="113"/>
      <c r="AC6" s="83"/>
      <c r="AD6" s="80"/>
      <c r="AE6" s="82"/>
      <c r="AF6" s="80"/>
      <c r="AG6" s="82"/>
      <c r="AH6" s="80"/>
      <c r="AI6" s="82"/>
      <c r="AJ6" s="113"/>
      <c r="AK6" s="83"/>
      <c r="AL6" s="89"/>
      <c r="AM6" s="82"/>
      <c r="AN6" s="710"/>
      <c r="AO6" s="77"/>
      <c r="AP6" s="282"/>
      <c r="AQ6" s="714"/>
      <c r="AR6" s="717"/>
      <c r="AS6" s="603"/>
      <c r="AT6" s="113"/>
      <c r="AU6" s="81"/>
      <c r="AV6" s="91"/>
      <c r="AW6" s="92"/>
      <c r="AX6" s="283"/>
      <c r="AY6" s="90"/>
      <c r="AZ6" s="91"/>
      <c r="BA6" s="82"/>
    </row>
    <row r="7" spans="1:53" s="78" customFormat="1" ht="14.25">
      <c r="A7" s="274" t="s">
        <v>23</v>
      </c>
      <c r="B7" s="281">
        <v>5646462</v>
      </c>
      <c r="C7" s="94">
        <v>13572197</v>
      </c>
      <c r="D7" s="114">
        <v>111543</v>
      </c>
      <c r="E7" s="85">
        <v>404427</v>
      </c>
      <c r="F7" s="84"/>
      <c r="G7" s="85"/>
      <c r="H7" s="84">
        <v>6122508</v>
      </c>
      <c r="I7" s="95">
        <v>14754927</v>
      </c>
      <c r="J7" s="84">
        <v>1424464</v>
      </c>
      <c r="K7" s="86">
        <v>3443694</v>
      </c>
      <c r="L7" s="84">
        <v>5388477</v>
      </c>
      <c r="M7" s="95">
        <v>2492574</v>
      </c>
      <c r="N7" s="84">
        <v>271443</v>
      </c>
      <c r="O7" s="86">
        <v>832154</v>
      </c>
      <c r="P7" s="84">
        <v>985318</v>
      </c>
      <c r="Q7" s="86">
        <v>2518913</v>
      </c>
      <c r="R7" s="114">
        <v>1655432</v>
      </c>
      <c r="S7" s="95">
        <v>3963049</v>
      </c>
      <c r="T7" s="84">
        <v>929265</v>
      </c>
      <c r="U7" s="86">
        <v>2323471</v>
      </c>
      <c r="V7" s="84">
        <v>17722423</v>
      </c>
      <c r="W7" s="86">
        <v>44692205</v>
      </c>
      <c r="X7" s="84">
        <v>13604984</v>
      </c>
      <c r="Y7" s="86">
        <v>31578819</v>
      </c>
      <c r="Z7" s="84">
        <v>717355</v>
      </c>
      <c r="AA7" s="100">
        <v>1540488</v>
      </c>
      <c r="AB7" s="113">
        <v>2514901</v>
      </c>
      <c r="AC7" s="83">
        <v>5305784</v>
      </c>
      <c r="AD7" s="84">
        <v>6323747</v>
      </c>
      <c r="AE7" s="86">
        <v>16363843</v>
      </c>
      <c r="AF7" s="84">
        <v>11984337</v>
      </c>
      <c r="AG7" s="82">
        <v>29470592</v>
      </c>
      <c r="AH7" s="84">
        <v>3826731</v>
      </c>
      <c r="AI7" s="86">
        <v>9035115</v>
      </c>
      <c r="AJ7" s="114">
        <v>3025680</v>
      </c>
      <c r="AK7" s="95">
        <v>6653716</v>
      </c>
      <c r="AL7" s="89"/>
      <c r="AM7" s="82"/>
      <c r="AN7" s="711">
        <v>32765347</v>
      </c>
      <c r="AO7" s="552">
        <v>66778130</v>
      </c>
      <c r="AP7" s="180">
        <v>2027459</v>
      </c>
      <c r="AQ7" s="715">
        <v>3900971</v>
      </c>
      <c r="AR7" s="102">
        <v>6370</v>
      </c>
      <c r="AS7" s="104">
        <v>16377</v>
      </c>
      <c r="AT7" s="114">
        <v>8505376</v>
      </c>
      <c r="AU7" s="85">
        <v>21401561</v>
      </c>
      <c r="AV7" s="105">
        <f aca="true" t="shared" si="0" ref="AV7:AW9">SUM(B7+D7+F7+H7+J7+L7+N7+P7+R7+T7+V7+X7+Z7+AB7+AD7+AF7+AH7+AJ7+AL7+AN7+AP7+AR7+AT7)</f>
        <v>125559622</v>
      </c>
      <c r="AW7" s="106">
        <f t="shared" si="0"/>
        <v>281043007</v>
      </c>
      <c r="AX7" s="284">
        <v>79573712</v>
      </c>
      <c r="AY7" s="103">
        <v>229732169</v>
      </c>
      <c r="AZ7" s="105">
        <f aca="true" t="shared" si="1" ref="AZ7:BA10">AV7+AX7</f>
        <v>205133334</v>
      </c>
      <c r="BA7" s="106">
        <f t="shared" si="1"/>
        <v>510775176</v>
      </c>
    </row>
    <row r="8" spans="1:53" s="78" customFormat="1" ht="14.25">
      <c r="A8" s="274" t="s">
        <v>24</v>
      </c>
      <c r="B8" s="281">
        <v>13715366</v>
      </c>
      <c r="C8" s="94">
        <v>33551434</v>
      </c>
      <c r="D8" s="114">
        <v>1051905</v>
      </c>
      <c r="E8" s="85">
        <v>3068268</v>
      </c>
      <c r="F8" s="84"/>
      <c r="G8" s="85"/>
      <c r="H8" s="84">
        <v>14406013</v>
      </c>
      <c r="I8" s="95">
        <v>37031214</v>
      </c>
      <c r="J8" s="84">
        <v>3922208</v>
      </c>
      <c r="K8" s="86">
        <v>9867163</v>
      </c>
      <c r="L8" s="84">
        <v>18560047</v>
      </c>
      <c r="M8" s="95">
        <v>6429486</v>
      </c>
      <c r="N8" s="84">
        <v>1924986</v>
      </c>
      <c r="O8" s="86">
        <v>5465104</v>
      </c>
      <c r="P8" s="84">
        <v>1912248</v>
      </c>
      <c r="Q8" s="86">
        <v>4804869</v>
      </c>
      <c r="R8" s="114">
        <v>5752320</v>
      </c>
      <c r="S8" s="95">
        <v>16256560</v>
      </c>
      <c r="T8" s="84">
        <v>1921759</v>
      </c>
      <c r="U8" s="86">
        <v>4655739</v>
      </c>
      <c r="V8" s="84">
        <v>45769840</v>
      </c>
      <c r="W8" s="86">
        <v>121264711</v>
      </c>
      <c r="X8" s="84">
        <v>56801206</v>
      </c>
      <c r="Y8" s="86">
        <v>155941459</v>
      </c>
      <c r="Z8" s="84">
        <v>3109505</v>
      </c>
      <c r="AA8" s="100">
        <v>8645133</v>
      </c>
      <c r="AB8" s="113">
        <v>4920147</v>
      </c>
      <c r="AC8" s="83">
        <v>12095938</v>
      </c>
      <c r="AD8" s="84">
        <v>14341224</v>
      </c>
      <c r="AE8" s="86">
        <v>33861136</v>
      </c>
      <c r="AF8" s="84">
        <v>28800359</v>
      </c>
      <c r="AG8" s="86">
        <v>76687073</v>
      </c>
      <c r="AH8" s="84">
        <v>10306224</v>
      </c>
      <c r="AI8" s="86">
        <v>26011541</v>
      </c>
      <c r="AJ8" s="114">
        <v>8702280</v>
      </c>
      <c r="AK8" s="95">
        <v>23744648</v>
      </c>
      <c r="AL8" s="89"/>
      <c r="AM8" s="82"/>
      <c r="AN8" s="711">
        <v>84355594</v>
      </c>
      <c r="AO8" s="552">
        <v>201703635</v>
      </c>
      <c r="AP8" s="180">
        <v>3138788</v>
      </c>
      <c r="AQ8" s="715">
        <v>7339028</v>
      </c>
      <c r="AR8" s="102">
        <v>617</v>
      </c>
      <c r="AS8" s="104">
        <v>2902</v>
      </c>
      <c r="AT8" s="114">
        <v>17379729</v>
      </c>
      <c r="AU8" s="85">
        <v>43913330</v>
      </c>
      <c r="AV8" s="105">
        <f t="shared" si="0"/>
        <v>340792365</v>
      </c>
      <c r="AW8" s="106">
        <f t="shared" si="0"/>
        <v>832340371</v>
      </c>
      <c r="AX8" s="284">
        <v>549867240</v>
      </c>
      <c r="AY8" s="103">
        <v>1514010500</v>
      </c>
      <c r="AZ8" s="105">
        <f t="shared" si="1"/>
        <v>890659605</v>
      </c>
      <c r="BA8" s="106">
        <f t="shared" si="1"/>
        <v>2346350871</v>
      </c>
    </row>
    <row r="9" spans="1:53" s="78" customFormat="1" ht="14.25">
      <c r="A9" s="274" t="s">
        <v>25</v>
      </c>
      <c r="B9" s="281">
        <v>6626073</v>
      </c>
      <c r="C9" s="94">
        <v>18697644</v>
      </c>
      <c r="D9" s="114">
        <v>53822</v>
      </c>
      <c r="E9" s="85">
        <v>56962</v>
      </c>
      <c r="F9" s="84"/>
      <c r="G9" s="85"/>
      <c r="H9" s="84">
        <v>10938669</v>
      </c>
      <c r="I9" s="95">
        <v>23449093</v>
      </c>
      <c r="J9" s="84">
        <v>421080</v>
      </c>
      <c r="K9" s="86">
        <v>1580759</v>
      </c>
      <c r="L9" s="84">
        <v>10399856</v>
      </c>
      <c r="M9" s="95">
        <v>3588003</v>
      </c>
      <c r="N9" s="84">
        <v>347189</v>
      </c>
      <c r="O9" s="86">
        <v>715318</v>
      </c>
      <c r="P9" s="84">
        <v>56462</v>
      </c>
      <c r="Q9" s="86">
        <v>126351</v>
      </c>
      <c r="R9" s="114">
        <v>206074</v>
      </c>
      <c r="S9" s="95">
        <v>581191</v>
      </c>
      <c r="T9" s="84">
        <v>295612</v>
      </c>
      <c r="U9" s="86">
        <v>396125</v>
      </c>
      <c r="V9" s="84">
        <v>32789890</v>
      </c>
      <c r="W9" s="86">
        <v>90776140</v>
      </c>
      <c r="X9" s="84">
        <v>21114206</v>
      </c>
      <c r="Y9" s="86">
        <v>48801900</v>
      </c>
      <c r="Z9" s="84">
        <v>838135</v>
      </c>
      <c r="AA9" s="100">
        <v>2228501</v>
      </c>
      <c r="AB9" s="113">
        <v>2875162</v>
      </c>
      <c r="AC9" s="83">
        <v>9584050</v>
      </c>
      <c r="AD9" s="84">
        <v>5560807</v>
      </c>
      <c r="AE9" s="86">
        <v>12073478</v>
      </c>
      <c r="AF9" s="84">
        <v>5500785</v>
      </c>
      <c r="AG9" s="86">
        <v>12962126</v>
      </c>
      <c r="AH9" s="84">
        <v>1362086</v>
      </c>
      <c r="AI9" s="86">
        <v>2668370</v>
      </c>
      <c r="AJ9" s="114">
        <v>248238</v>
      </c>
      <c r="AK9" s="95">
        <v>468826</v>
      </c>
      <c r="AL9" s="89"/>
      <c r="AM9" s="82"/>
      <c r="AN9" s="711">
        <v>21622658</v>
      </c>
      <c r="AO9" s="552">
        <v>77592713</v>
      </c>
      <c r="AP9" s="180">
        <v>738829</v>
      </c>
      <c r="AQ9" s="715">
        <v>1321012</v>
      </c>
      <c r="AR9" s="102">
        <v>1305</v>
      </c>
      <c r="AS9" s="104">
        <v>1726</v>
      </c>
      <c r="AT9" s="114">
        <v>1777904</v>
      </c>
      <c r="AU9" s="85">
        <v>5038969</v>
      </c>
      <c r="AV9" s="105">
        <f t="shared" si="0"/>
        <v>123774842</v>
      </c>
      <c r="AW9" s="106">
        <f t="shared" si="0"/>
        <v>312709257</v>
      </c>
      <c r="AX9" s="284">
        <v>340639563</v>
      </c>
      <c r="AY9" s="103">
        <v>1071330262</v>
      </c>
      <c r="AZ9" s="105">
        <f t="shared" si="1"/>
        <v>464414405</v>
      </c>
      <c r="BA9" s="106">
        <f t="shared" si="1"/>
        <v>1384039519</v>
      </c>
    </row>
    <row r="10" spans="1:53" s="78" customFormat="1" ht="14.25">
      <c r="A10" s="276" t="s">
        <v>26</v>
      </c>
      <c r="B10" s="76">
        <f aca="true" t="shared" si="2" ref="B10:I10">SUM(B7:B9)</f>
        <v>25987901</v>
      </c>
      <c r="C10" s="391">
        <f t="shared" si="2"/>
        <v>65821275</v>
      </c>
      <c r="D10" s="108">
        <f t="shared" si="2"/>
        <v>1217270</v>
      </c>
      <c r="E10" s="76">
        <f t="shared" si="2"/>
        <v>3529657</v>
      </c>
      <c r="F10" s="76">
        <f t="shared" si="2"/>
        <v>0</v>
      </c>
      <c r="G10" s="76">
        <f t="shared" si="2"/>
        <v>0</v>
      </c>
      <c r="H10" s="76">
        <f t="shared" si="2"/>
        <v>31467190</v>
      </c>
      <c r="I10" s="387">
        <f t="shared" si="2"/>
        <v>75235234</v>
      </c>
      <c r="J10" s="76">
        <f aca="true" t="shared" si="3" ref="J10:R10">SUM(J7:J9)</f>
        <v>5767752</v>
      </c>
      <c r="K10" s="391">
        <f t="shared" si="3"/>
        <v>14891616</v>
      </c>
      <c r="L10" s="76">
        <f t="shared" si="3"/>
        <v>34348380</v>
      </c>
      <c r="M10" s="387">
        <f t="shared" si="3"/>
        <v>12510063</v>
      </c>
      <c r="N10" s="76">
        <f t="shared" si="3"/>
        <v>2543618</v>
      </c>
      <c r="O10" s="391">
        <f t="shared" si="3"/>
        <v>7012576</v>
      </c>
      <c r="P10" s="76">
        <f t="shared" si="3"/>
        <v>2954028</v>
      </c>
      <c r="Q10" s="391">
        <f t="shared" si="3"/>
        <v>7450133</v>
      </c>
      <c r="R10" s="108">
        <f t="shared" si="3"/>
        <v>7613826</v>
      </c>
      <c r="S10" s="704">
        <f aca="true" t="shared" si="4" ref="S10:X10">SUM(S7:S9)</f>
        <v>20800800</v>
      </c>
      <c r="T10" s="76">
        <f t="shared" si="4"/>
        <v>3146636</v>
      </c>
      <c r="U10" s="705">
        <f t="shared" si="4"/>
        <v>7375335</v>
      </c>
      <c r="V10" s="76">
        <f t="shared" si="4"/>
        <v>96282153</v>
      </c>
      <c r="W10" s="705">
        <f t="shared" si="4"/>
        <v>256733056</v>
      </c>
      <c r="X10" s="76">
        <f t="shared" si="4"/>
        <v>91520396</v>
      </c>
      <c r="Y10" s="705">
        <f aca="true" t="shared" si="5" ref="Y10:AV10">SUM(Y7:Y9)</f>
        <v>236322178</v>
      </c>
      <c r="Z10" s="76">
        <f t="shared" si="5"/>
        <v>4664995</v>
      </c>
      <c r="AA10" s="705">
        <f t="shared" si="5"/>
        <v>12414122</v>
      </c>
      <c r="AB10" s="108">
        <f t="shared" si="5"/>
        <v>10310210</v>
      </c>
      <c r="AC10" s="704">
        <f t="shared" si="5"/>
        <v>26985772</v>
      </c>
      <c r="AD10" s="76">
        <f t="shared" si="5"/>
        <v>26225778</v>
      </c>
      <c r="AE10" s="705">
        <f t="shared" si="5"/>
        <v>62298457</v>
      </c>
      <c r="AF10" s="76">
        <f t="shared" si="5"/>
        <v>46285481</v>
      </c>
      <c r="AG10" s="705">
        <f t="shared" si="5"/>
        <v>119119791</v>
      </c>
      <c r="AH10" s="76">
        <f t="shared" si="5"/>
        <v>15495041</v>
      </c>
      <c r="AI10" s="705">
        <f t="shared" si="5"/>
        <v>37715026</v>
      </c>
      <c r="AJ10" s="108">
        <f t="shared" si="5"/>
        <v>11976198</v>
      </c>
      <c r="AK10" s="704">
        <f t="shared" si="5"/>
        <v>30867190</v>
      </c>
      <c r="AL10" s="76">
        <f t="shared" si="5"/>
        <v>0</v>
      </c>
      <c r="AM10" s="705">
        <f t="shared" si="5"/>
        <v>0</v>
      </c>
      <c r="AN10" s="76">
        <f t="shared" si="5"/>
        <v>138743599</v>
      </c>
      <c r="AO10" s="705">
        <f t="shared" si="5"/>
        <v>346074478</v>
      </c>
      <c r="AP10" s="108">
        <f t="shared" si="5"/>
        <v>5905076</v>
      </c>
      <c r="AQ10" s="704">
        <f t="shared" si="5"/>
        <v>12561011</v>
      </c>
      <c r="AR10" s="76">
        <f t="shared" si="5"/>
        <v>8292</v>
      </c>
      <c r="AS10" s="705">
        <f t="shared" si="5"/>
        <v>21005</v>
      </c>
      <c r="AT10" s="108">
        <f t="shared" si="5"/>
        <v>27663009</v>
      </c>
      <c r="AU10" s="108">
        <f t="shared" si="5"/>
        <v>70353860</v>
      </c>
      <c r="AV10" s="391">
        <f t="shared" si="5"/>
        <v>590126829</v>
      </c>
      <c r="AW10" s="106">
        <f>SUM(C10+E10+G10+I10+K10+M10+O10+Q10+S10+U10+W10+Y10+AA10+AC10+AE10+AG10+AI10+AK10+AM10+AO10+AQ10+AS10+AU10)</f>
        <v>1426092635</v>
      </c>
      <c r="AX10" s="115">
        <f>SUM(AX7:AX9)</f>
        <v>970080515</v>
      </c>
      <c r="AY10" s="115">
        <f>SUM(AY7:AY9)</f>
        <v>2815072931</v>
      </c>
      <c r="AZ10" s="105">
        <f t="shared" si="1"/>
        <v>1560207344</v>
      </c>
      <c r="BA10" s="106">
        <f t="shared" si="1"/>
        <v>4241165566</v>
      </c>
    </row>
    <row r="11" spans="1:53" s="78" customFormat="1" ht="14.25">
      <c r="A11" s="274" t="s">
        <v>27</v>
      </c>
      <c r="B11" s="281"/>
      <c r="C11" s="94"/>
      <c r="D11" s="114"/>
      <c r="E11" s="85"/>
      <c r="F11" s="84"/>
      <c r="G11" s="85"/>
      <c r="H11" s="84"/>
      <c r="I11" s="95"/>
      <c r="J11" s="84"/>
      <c r="K11" s="86"/>
      <c r="L11" s="84"/>
      <c r="M11" s="95"/>
      <c r="N11" s="84"/>
      <c r="O11" s="86"/>
      <c r="P11" s="84"/>
      <c r="Q11" s="86"/>
      <c r="R11" s="114"/>
      <c r="S11" s="95"/>
      <c r="T11" s="84"/>
      <c r="U11" s="86"/>
      <c r="V11" s="84"/>
      <c r="W11" s="86"/>
      <c r="X11" s="84"/>
      <c r="Y11" s="86"/>
      <c r="Z11" s="84"/>
      <c r="AA11" s="86"/>
      <c r="AB11" s="113"/>
      <c r="AC11" s="83"/>
      <c r="AD11" s="84"/>
      <c r="AE11" s="86"/>
      <c r="AF11" s="84"/>
      <c r="AG11" s="86"/>
      <c r="AH11" s="84"/>
      <c r="AI11" s="86"/>
      <c r="AJ11" s="114"/>
      <c r="AK11" s="95"/>
      <c r="AL11" s="89"/>
      <c r="AM11" s="82"/>
      <c r="AN11" s="710"/>
      <c r="AO11" s="77"/>
      <c r="AP11" s="180"/>
      <c r="AQ11" s="715"/>
      <c r="AR11" s="102"/>
      <c r="AS11" s="104"/>
      <c r="AT11" s="114"/>
      <c r="AU11" s="85"/>
      <c r="AV11" s="105"/>
      <c r="AW11" s="106"/>
      <c r="AX11" s="284"/>
      <c r="AY11" s="103"/>
      <c r="AZ11" s="105"/>
      <c r="BA11" s="106"/>
    </row>
    <row r="12" spans="1:53" s="78" customFormat="1" ht="14.25">
      <c r="A12" s="274" t="s">
        <v>28</v>
      </c>
      <c r="B12" s="281">
        <f aca="true" t="shared" si="6" ref="B12:L12">B10</f>
        <v>25987901</v>
      </c>
      <c r="C12" s="718">
        <f t="shared" si="6"/>
        <v>65821275</v>
      </c>
      <c r="D12" s="115">
        <f t="shared" si="6"/>
        <v>1217270</v>
      </c>
      <c r="E12" s="115">
        <f t="shared" si="6"/>
        <v>3529657</v>
      </c>
      <c r="F12" s="105">
        <f t="shared" si="6"/>
        <v>0</v>
      </c>
      <c r="G12" s="115">
        <f t="shared" si="6"/>
        <v>0</v>
      </c>
      <c r="H12" s="105">
        <f t="shared" si="6"/>
        <v>31467190</v>
      </c>
      <c r="I12" s="116">
        <f t="shared" si="6"/>
        <v>75235234</v>
      </c>
      <c r="J12" s="105">
        <f t="shared" si="6"/>
        <v>5767752</v>
      </c>
      <c r="K12" s="117">
        <f t="shared" si="6"/>
        <v>14891616</v>
      </c>
      <c r="L12" s="105">
        <f t="shared" si="6"/>
        <v>34348380</v>
      </c>
      <c r="M12" s="116">
        <f aca="true" t="shared" si="7" ref="M12:Y12">M10</f>
        <v>12510063</v>
      </c>
      <c r="N12" s="105">
        <f t="shared" si="7"/>
        <v>2543618</v>
      </c>
      <c r="O12" s="117">
        <f t="shared" si="7"/>
        <v>7012576</v>
      </c>
      <c r="P12" s="105">
        <f t="shared" si="7"/>
        <v>2954028</v>
      </c>
      <c r="Q12" s="117">
        <f t="shared" si="7"/>
        <v>7450133</v>
      </c>
      <c r="R12" s="115">
        <f t="shared" si="7"/>
        <v>7613826</v>
      </c>
      <c r="S12" s="116">
        <f t="shared" si="7"/>
        <v>20800800</v>
      </c>
      <c r="T12" s="105">
        <f t="shared" si="7"/>
        <v>3146636</v>
      </c>
      <c r="U12" s="117">
        <f t="shared" si="7"/>
        <v>7375335</v>
      </c>
      <c r="V12" s="105">
        <f t="shared" si="7"/>
        <v>96282153</v>
      </c>
      <c r="W12" s="117">
        <f t="shared" si="7"/>
        <v>256733056</v>
      </c>
      <c r="X12" s="105">
        <f t="shared" si="7"/>
        <v>91520396</v>
      </c>
      <c r="Y12" s="117">
        <f t="shared" si="7"/>
        <v>236322178</v>
      </c>
      <c r="Z12" s="84">
        <f>Z10</f>
        <v>4664995</v>
      </c>
      <c r="AA12" s="601">
        <f>AA10</f>
        <v>12414122</v>
      </c>
      <c r="AB12" s="113">
        <f>AB10</f>
        <v>10310210</v>
      </c>
      <c r="AC12" s="706">
        <f>AC10</f>
        <v>26985772</v>
      </c>
      <c r="AD12" s="84">
        <f>AD10</f>
        <v>26225778</v>
      </c>
      <c r="AE12" s="598">
        <f aca="true" t="shared" si="8" ref="AE12:AS12">AE10</f>
        <v>62298457</v>
      </c>
      <c r="AF12" s="84">
        <f t="shared" si="8"/>
        <v>46285481</v>
      </c>
      <c r="AG12" s="598">
        <f t="shared" si="8"/>
        <v>119119791</v>
      </c>
      <c r="AH12" s="84">
        <f t="shared" si="8"/>
        <v>15495041</v>
      </c>
      <c r="AI12" s="598">
        <f t="shared" si="8"/>
        <v>37715026</v>
      </c>
      <c r="AJ12" s="114">
        <f t="shared" si="8"/>
        <v>11976198</v>
      </c>
      <c r="AK12" s="708">
        <f t="shared" si="8"/>
        <v>30867190</v>
      </c>
      <c r="AL12" s="84">
        <f t="shared" si="8"/>
        <v>0</v>
      </c>
      <c r="AM12" s="598">
        <f t="shared" si="8"/>
        <v>0</v>
      </c>
      <c r="AN12" s="84">
        <f t="shared" si="8"/>
        <v>138743599</v>
      </c>
      <c r="AO12" s="598">
        <f t="shared" si="8"/>
        <v>346074478</v>
      </c>
      <c r="AP12" s="114">
        <f t="shared" si="8"/>
        <v>5905076</v>
      </c>
      <c r="AQ12" s="708">
        <f t="shared" si="8"/>
        <v>12561011</v>
      </c>
      <c r="AR12" s="84">
        <f t="shared" si="8"/>
        <v>8292</v>
      </c>
      <c r="AS12" s="598">
        <f t="shared" si="8"/>
        <v>21005</v>
      </c>
      <c r="AT12" s="284">
        <f>AT10</f>
        <v>27663009</v>
      </c>
      <c r="AU12" s="103">
        <f>AU10</f>
        <v>70353860</v>
      </c>
      <c r="AV12" s="599">
        <f>AV10</f>
        <v>590126829</v>
      </c>
      <c r="AW12" s="106">
        <f>SUM(C12+E12+G12+I12+K12+M12+O12+Q12+S12+U12+W12+Y12+AA12+AC12+AE12+AG12+AI12+AK12+AM12+AO12+AQ12+AS12+AU12)</f>
        <v>1426092635</v>
      </c>
      <c r="AX12" s="284">
        <f>AX10</f>
        <v>970080515</v>
      </c>
      <c r="AY12" s="284">
        <f>AY10</f>
        <v>2815072931</v>
      </c>
      <c r="AZ12" s="105">
        <f>AV12+AX12</f>
        <v>1560207344</v>
      </c>
      <c r="BA12" s="106">
        <f>AW12+AY12</f>
        <v>4241165566</v>
      </c>
    </row>
    <row r="13" spans="1:53" s="78" customFormat="1" ht="14.25">
      <c r="A13" s="75" t="s">
        <v>29</v>
      </c>
      <c r="B13" s="281"/>
      <c r="C13" s="94"/>
      <c r="D13" s="114"/>
      <c r="E13" s="85"/>
      <c r="F13" s="84"/>
      <c r="G13" s="85"/>
      <c r="H13" s="84"/>
      <c r="I13" s="95"/>
      <c r="J13" s="84"/>
      <c r="K13" s="86"/>
      <c r="L13" s="84"/>
      <c r="M13" s="95"/>
      <c r="N13" s="84"/>
      <c r="O13" s="86"/>
      <c r="P13" s="84"/>
      <c r="Q13" s="86"/>
      <c r="R13" s="114"/>
      <c r="S13" s="95"/>
      <c r="T13" s="84"/>
      <c r="U13" s="86"/>
      <c r="V13" s="84"/>
      <c r="W13" s="86"/>
      <c r="X13" s="84"/>
      <c r="Y13" s="86"/>
      <c r="Z13" s="84"/>
      <c r="AA13" s="86"/>
      <c r="AB13" s="113"/>
      <c r="AC13" s="83"/>
      <c r="AD13" s="84"/>
      <c r="AE13" s="86"/>
      <c r="AF13" s="84"/>
      <c r="AG13" s="86"/>
      <c r="AH13" s="84"/>
      <c r="AI13" s="86"/>
      <c r="AJ13" s="114"/>
      <c r="AK13" s="95"/>
      <c r="AL13" s="89"/>
      <c r="AM13" s="82"/>
      <c r="AN13" s="712"/>
      <c r="AO13" s="77"/>
      <c r="AP13" s="180"/>
      <c r="AQ13" s="715"/>
      <c r="AR13" s="102"/>
      <c r="AS13" s="104"/>
      <c r="AT13" s="114"/>
      <c r="AU13" s="85"/>
      <c r="AV13" s="105"/>
      <c r="AW13" s="106"/>
      <c r="AX13" s="284"/>
      <c r="AY13" s="103"/>
      <c r="AZ13" s="105"/>
      <c r="BA13" s="106"/>
    </row>
    <row r="14" spans="1:53" s="383" customFormat="1" ht="15" thickBot="1">
      <c r="A14" s="368" t="s">
        <v>26</v>
      </c>
      <c r="B14" s="369">
        <f>B10</f>
        <v>25987901</v>
      </c>
      <c r="C14" s="370">
        <f aca="true" t="shared" si="9" ref="C14:W14">C10</f>
        <v>65821275</v>
      </c>
      <c r="D14" s="371">
        <f t="shared" si="9"/>
        <v>1217270</v>
      </c>
      <c r="E14" s="371">
        <f t="shared" si="9"/>
        <v>3529657</v>
      </c>
      <c r="F14" s="369">
        <f t="shared" si="9"/>
        <v>0</v>
      </c>
      <c r="G14" s="371">
        <f t="shared" si="9"/>
        <v>0</v>
      </c>
      <c r="H14" s="369">
        <f t="shared" si="9"/>
        <v>31467190</v>
      </c>
      <c r="I14" s="372">
        <f t="shared" si="9"/>
        <v>75235234</v>
      </c>
      <c r="J14" s="369">
        <f t="shared" si="9"/>
        <v>5767752</v>
      </c>
      <c r="K14" s="373">
        <f t="shared" si="9"/>
        <v>14891616</v>
      </c>
      <c r="L14" s="369">
        <f t="shared" si="9"/>
        <v>34348380</v>
      </c>
      <c r="M14" s="372">
        <f t="shared" si="9"/>
        <v>12510063</v>
      </c>
      <c r="N14" s="369">
        <f t="shared" si="9"/>
        <v>2543618</v>
      </c>
      <c r="O14" s="373">
        <f t="shared" si="9"/>
        <v>7012576</v>
      </c>
      <c r="P14" s="369">
        <f t="shared" si="9"/>
        <v>2954028</v>
      </c>
      <c r="Q14" s="373">
        <f t="shared" si="9"/>
        <v>7450133</v>
      </c>
      <c r="R14" s="371">
        <f t="shared" si="9"/>
        <v>7613826</v>
      </c>
      <c r="S14" s="372">
        <f t="shared" si="9"/>
        <v>20800800</v>
      </c>
      <c r="T14" s="369">
        <f t="shared" si="9"/>
        <v>3146636</v>
      </c>
      <c r="U14" s="373">
        <f t="shared" si="9"/>
        <v>7375335</v>
      </c>
      <c r="V14" s="369">
        <f t="shared" si="9"/>
        <v>96282153</v>
      </c>
      <c r="W14" s="373">
        <f t="shared" si="9"/>
        <v>256733056</v>
      </c>
      <c r="X14" s="375">
        <f aca="true" t="shared" si="10" ref="X14:AD14">X10</f>
        <v>91520396</v>
      </c>
      <c r="Y14" s="484">
        <f t="shared" si="10"/>
        <v>236322178</v>
      </c>
      <c r="Z14" s="375">
        <f t="shared" si="10"/>
        <v>4664995</v>
      </c>
      <c r="AA14" s="484">
        <f t="shared" si="10"/>
        <v>12414122</v>
      </c>
      <c r="AB14" s="377">
        <f t="shared" si="10"/>
        <v>10310210</v>
      </c>
      <c r="AC14" s="707">
        <f t="shared" si="10"/>
        <v>26985772</v>
      </c>
      <c r="AD14" s="375">
        <f t="shared" si="10"/>
        <v>26225778</v>
      </c>
      <c r="AE14" s="376">
        <f aca="true" t="shared" si="11" ref="AE14:AV14">AE10</f>
        <v>62298457</v>
      </c>
      <c r="AF14" s="375">
        <f t="shared" si="11"/>
        <v>46285481</v>
      </c>
      <c r="AG14" s="484">
        <f t="shared" si="11"/>
        <v>119119791</v>
      </c>
      <c r="AH14" s="375">
        <f t="shared" si="11"/>
        <v>15495041</v>
      </c>
      <c r="AI14" s="484">
        <f t="shared" si="11"/>
        <v>37715026</v>
      </c>
      <c r="AJ14" s="374">
        <f t="shared" si="11"/>
        <v>11976198</v>
      </c>
      <c r="AK14" s="709">
        <f t="shared" si="11"/>
        <v>30867190</v>
      </c>
      <c r="AL14" s="375">
        <f t="shared" si="11"/>
        <v>0</v>
      </c>
      <c r="AM14" s="484">
        <f t="shared" si="11"/>
        <v>0</v>
      </c>
      <c r="AN14" s="713">
        <f t="shared" si="11"/>
        <v>138743599</v>
      </c>
      <c r="AO14" s="485">
        <f t="shared" si="11"/>
        <v>346074478</v>
      </c>
      <c r="AP14" s="378">
        <f t="shared" si="11"/>
        <v>5905076</v>
      </c>
      <c r="AQ14" s="716">
        <f t="shared" si="11"/>
        <v>12561011</v>
      </c>
      <c r="AR14" s="380">
        <f t="shared" si="11"/>
        <v>8292</v>
      </c>
      <c r="AS14" s="382">
        <f t="shared" si="11"/>
        <v>21005</v>
      </c>
      <c r="AT14" s="379">
        <f t="shared" si="11"/>
        <v>27663009</v>
      </c>
      <c r="AU14" s="381">
        <f t="shared" si="11"/>
        <v>70353860</v>
      </c>
      <c r="AV14" s="375">
        <f t="shared" si="11"/>
        <v>590126829</v>
      </c>
      <c r="AW14" s="376">
        <f>SUM(C14+E14+G14+I14+K14+M14+O14+Q14+S14+U14+W14+Y14+AA14+AC14+AE14+AG14+AI14+AK14+AM14+AO14+AQ14+AS14+AU14)</f>
        <v>1426092635</v>
      </c>
      <c r="AX14" s="379">
        <f>AX10</f>
        <v>970080515</v>
      </c>
      <c r="AY14" s="379">
        <f>AY10</f>
        <v>2815072931</v>
      </c>
      <c r="AZ14" s="375">
        <f>AV14+AX14</f>
        <v>1560207344</v>
      </c>
      <c r="BA14" s="376">
        <f>AW14+AY14</f>
        <v>4241165566</v>
      </c>
    </row>
  </sheetData>
  <sheetProtection/>
  <mergeCells count="29">
    <mergeCell ref="H3:I3"/>
    <mergeCell ref="X3:Y3"/>
    <mergeCell ref="A1:AZ1"/>
    <mergeCell ref="A2:AZ2"/>
    <mergeCell ref="A3:A4"/>
    <mergeCell ref="B3:C3"/>
    <mergeCell ref="D3:E3"/>
    <mergeCell ref="AJ3:AK3"/>
    <mergeCell ref="AZ3:BA3"/>
    <mergeCell ref="V3:W3"/>
    <mergeCell ref="F3:G3"/>
    <mergeCell ref="Z3:AA3"/>
    <mergeCell ref="AP3:AQ3"/>
    <mergeCell ref="AL3:AM3"/>
    <mergeCell ref="J3:K3"/>
    <mergeCell ref="L3:M3"/>
    <mergeCell ref="N3:O3"/>
    <mergeCell ref="AB3:AC3"/>
    <mergeCell ref="P3:Q3"/>
    <mergeCell ref="R3:S3"/>
    <mergeCell ref="T3:U3"/>
    <mergeCell ref="AN3:AO3"/>
    <mergeCell ref="AR3:AS3"/>
    <mergeCell ref="AT3:AU3"/>
    <mergeCell ref="AV3:AW3"/>
    <mergeCell ref="AX3:AY3"/>
    <mergeCell ref="AD3:AE3"/>
    <mergeCell ref="AF3:AG3"/>
    <mergeCell ref="AH3:AI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A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B19" sqref="BB19"/>
    </sheetView>
  </sheetViews>
  <sheetFormatPr defaultColWidth="9.140625" defaultRowHeight="15"/>
  <cols>
    <col min="1" max="1" width="50.421875" style="161" bestFit="1" customWidth="1"/>
    <col min="2" max="2" width="11.7109375" style="161" bestFit="1" customWidth="1"/>
    <col min="3" max="3" width="12.8515625" style="161" bestFit="1" customWidth="1"/>
    <col min="4" max="4" width="11.7109375" style="161" bestFit="1" customWidth="1"/>
    <col min="5" max="5" width="12.8515625" style="161" bestFit="1" customWidth="1"/>
    <col min="6" max="6" width="11.7109375" style="161" bestFit="1" customWidth="1"/>
    <col min="7" max="7" width="12.8515625" style="161" bestFit="1" customWidth="1"/>
    <col min="8" max="8" width="11.7109375" style="161" bestFit="1" customWidth="1"/>
    <col min="9" max="9" width="12.8515625" style="161" bestFit="1" customWidth="1"/>
    <col min="10" max="10" width="11.7109375" style="161" bestFit="1" customWidth="1"/>
    <col min="11" max="11" width="12.8515625" style="161" bestFit="1" customWidth="1"/>
    <col min="12" max="12" width="11.7109375" style="161" bestFit="1" customWidth="1"/>
    <col min="13" max="13" width="12.8515625" style="161" bestFit="1" customWidth="1"/>
    <col min="14" max="14" width="11.7109375" style="161" bestFit="1" customWidth="1"/>
    <col min="15" max="15" width="12.8515625" style="161" bestFit="1" customWidth="1"/>
    <col min="16" max="16" width="11.7109375" style="161" bestFit="1" customWidth="1"/>
    <col min="17" max="17" width="12.8515625" style="161" bestFit="1" customWidth="1"/>
    <col min="18" max="18" width="11.7109375" style="161" bestFit="1" customWidth="1"/>
    <col min="19" max="19" width="12.8515625" style="161" bestFit="1" customWidth="1"/>
    <col min="20" max="20" width="11.7109375" style="161" bestFit="1" customWidth="1"/>
    <col min="21" max="21" width="12.8515625" style="161" bestFit="1" customWidth="1"/>
    <col min="22" max="22" width="11.7109375" style="161" bestFit="1" customWidth="1"/>
    <col min="23" max="23" width="12.8515625" style="161" bestFit="1" customWidth="1"/>
    <col min="24" max="24" width="11.7109375" style="161" bestFit="1" customWidth="1"/>
    <col min="25" max="25" width="12.8515625" style="161" bestFit="1" customWidth="1"/>
    <col min="26" max="26" width="11.7109375" style="161" bestFit="1" customWidth="1"/>
    <col min="27" max="27" width="12.8515625" style="161" bestFit="1" customWidth="1"/>
    <col min="28" max="28" width="11.7109375" style="161" bestFit="1" customWidth="1"/>
    <col min="29" max="29" width="12.8515625" style="161" bestFit="1" customWidth="1"/>
    <col min="30" max="30" width="11.7109375" style="161" bestFit="1" customWidth="1"/>
    <col min="31" max="31" width="12.8515625" style="161" bestFit="1" customWidth="1"/>
    <col min="32" max="32" width="11.7109375" style="161" bestFit="1" customWidth="1"/>
    <col min="33" max="33" width="12.8515625" style="161" bestFit="1" customWidth="1"/>
    <col min="34" max="34" width="11.7109375" style="161" bestFit="1" customWidth="1"/>
    <col min="35" max="35" width="12.8515625" style="161" bestFit="1" customWidth="1"/>
    <col min="36" max="36" width="11.7109375" style="161" bestFit="1" customWidth="1"/>
    <col min="37" max="37" width="12.8515625" style="161" bestFit="1" customWidth="1"/>
    <col min="38" max="38" width="11.7109375" style="161" bestFit="1" customWidth="1"/>
    <col min="39" max="39" width="12.8515625" style="161" bestFit="1" customWidth="1"/>
    <col min="40" max="40" width="11.7109375" style="161" bestFit="1" customWidth="1"/>
    <col min="41" max="41" width="12.8515625" style="161" bestFit="1" customWidth="1"/>
    <col min="42" max="42" width="11.7109375" style="161" bestFit="1" customWidth="1"/>
    <col min="43" max="43" width="12.8515625" style="161" bestFit="1" customWidth="1"/>
    <col min="44" max="44" width="11.7109375" style="161" bestFit="1" customWidth="1"/>
    <col min="45" max="45" width="12.8515625" style="161" bestFit="1" customWidth="1"/>
    <col min="46" max="46" width="11.7109375" style="161" bestFit="1" customWidth="1"/>
    <col min="47" max="47" width="12.8515625" style="161" bestFit="1" customWidth="1"/>
    <col min="48" max="48" width="11.7109375" style="161" bestFit="1" customWidth="1"/>
    <col min="49" max="49" width="12.8515625" style="161" bestFit="1" customWidth="1"/>
    <col min="50" max="50" width="11.7109375" style="161" bestFit="1" customWidth="1"/>
    <col min="51" max="51" width="12.8515625" style="161" bestFit="1" customWidth="1"/>
    <col min="52" max="52" width="11.7109375" style="161" bestFit="1" customWidth="1"/>
    <col min="53" max="53" width="12.8515625" style="161" bestFit="1" customWidth="1"/>
    <col min="54" max="16384" width="9.140625" style="161" customWidth="1"/>
  </cols>
  <sheetData>
    <row r="1" spans="1:52" s="175" customFormat="1" ht="14.25">
      <c r="A1" s="966" t="s">
        <v>112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  <c r="AA1" s="966"/>
      <c r="AB1" s="966"/>
      <c r="AC1" s="966"/>
      <c r="AD1" s="966"/>
      <c r="AE1" s="966"/>
      <c r="AF1" s="966"/>
      <c r="AG1" s="966"/>
      <c r="AH1" s="966"/>
      <c r="AI1" s="966"/>
      <c r="AJ1" s="966"/>
      <c r="AK1" s="966"/>
      <c r="AL1" s="966"/>
      <c r="AM1" s="966"/>
      <c r="AN1" s="966"/>
      <c r="AO1" s="966"/>
      <c r="AP1" s="966"/>
      <c r="AQ1" s="966"/>
      <c r="AR1" s="966"/>
      <c r="AS1" s="966"/>
      <c r="AT1" s="966"/>
      <c r="AU1" s="966"/>
      <c r="AV1" s="966"/>
      <c r="AW1" s="966"/>
      <c r="AX1" s="966"/>
      <c r="AY1" s="966"/>
      <c r="AZ1" s="966"/>
    </row>
    <row r="2" spans="1:52" s="384" customFormat="1" ht="16.5" thickBot="1">
      <c r="A2" s="1005" t="s">
        <v>59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1005"/>
      <c r="O2" s="1005"/>
      <c r="P2" s="1005"/>
      <c r="Q2" s="1005"/>
      <c r="R2" s="1005"/>
      <c r="S2" s="1005"/>
      <c r="T2" s="1005"/>
      <c r="U2" s="1005"/>
      <c r="V2" s="1005"/>
      <c r="W2" s="1005"/>
      <c r="X2" s="1005"/>
      <c r="Y2" s="1005"/>
      <c r="Z2" s="1005"/>
      <c r="AA2" s="1005"/>
      <c r="AB2" s="1005"/>
      <c r="AC2" s="1005"/>
      <c r="AD2" s="1005"/>
      <c r="AE2" s="1005"/>
      <c r="AF2" s="1005"/>
      <c r="AG2" s="1005"/>
      <c r="AH2" s="1005"/>
      <c r="AI2" s="1005"/>
      <c r="AJ2" s="1005"/>
      <c r="AK2" s="1005"/>
      <c r="AL2" s="1005"/>
      <c r="AM2" s="1005"/>
      <c r="AN2" s="1005"/>
      <c r="AO2" s="1005"/>
      <c r="AP2" s="1005"/>
      <c r="AQ2" s="1005"/>
      <c r="AR2" s="1005"/>
      <c r="AS2" s="1005"/>
      <c r="AT2" s="1005"/>
      <c r="AU2" s="1005"/>
      <c r="AV2" s="1005"/>
      <c r="AW2" s="1005"/>
      <c r="AX2" s="1005"/>
      <c r="AY2" s="1005"/>
      <c r="AZ2" s="1005"/>
    </row>
    <row r="3" spans="1:53" ht="39" customHeight="1" thickBot="1">
      <c r="A3" s="1006" t="s">
        <v>0</v>
      </c>
      <c r="B3" s="1008" t="s">
        <v>116</v>
      </c>
      <c r="C3" s="1009"/>
      <c r="D3" s="1000" t="s">
        <v>117</v>
      </c>
      <c r="E3" s="1001"/>
      <c r="F3" s="1000" t="s">
        <v>118</v>
      </c>
      <c r="G3" s="1001"/>
      <c r="H3" s="1000" t="s">
        <v>119</v>
      </c>
      <c r="I3" s="1001"/>
      <c r="J3" s="1000" t="s">
        <v>120</v>
      </c>
      <c r="K3" s="1001"/>
      <c r="L3" s="1000" t="s">
        <v>121</v>
      </c>
      <c r="M3" s="1001"/>
      <c r="N3" s="1010" t="s">
        <v>226</v>
      </c>
      <c r="O3" s="1011"/>
      <c r="P3" s="1010" t="s">
        <v>122</v>
      </c>
      <c r="Q3" s="1011"/>
      <c r="R3" s="1000" t="s">
        <v>123</v>
      </c>
      <c r="S3" s="1012"/>
      <c r="T3" s="1001" t="s">
        <v>124</v>
      </c>
      <c r="U3" s="1001"/>
      <c r="V3" s="1001" t="s">
        <v>125</v>
      </c>
      <c r="W3" s="1001"/>
      <c r="X3" s="1000" t="s">
        <v>126</v>
      </c>
      <c r="Y3" s="1001"/>
      <c r="Z3" s="952" t="s">
        <v>234</v>
      </c>
      <c r="AA3" s="953"/>
      <c r="AB3" s="1000" t="s">
        <v>127</v>
      </c>
      <c r="AC3" s="1001"/>
      <c r="AD3" s="1002" t="s">
        <v>128</v>
      </c>
      <c r="AE3" s="1004"/>
      <c r="AF3" s="1000" t="s">
        <v>129</v>
      </c>
      <c r="AG3" s="1001"/>
      <c r="AH3" s="1000" t="s">
        <v>130</v>
      </c>
      <c r="AI3" s="1001"/>
      <c r="AJ3" s="1000" t="s">
        <v>131</v>
      </c>
      <c r="AK3" s="1001"/>
      <c r="AL3" s="1002" t="s">
        <v>132</v>
      </c>
      <c r="AM3" s="1004"/>
      <c r="AN3" s="1000" t="s">
        <v>133</v>
      </c>
      <c r="AO3" s="1001"/>
      <c r="AP3" s="1000" t="s">
        <v>134</v>
      </c>
      <c r="AQ3" s="1001"/>
      <c r="AR3" s="1000" t="s">
        <v>135</v>
      </c>
      <c r="AS3" s="1001"/>
      <c r="AT3" s="1000" t="s">
        <v>136</v>
      </c>
      <c r="AU3" s="1001"/>
      <c r="AV3" s="1000" t="s">
        <v>1</v>
      </c>
      <c r="AW3" s="1001"/>
      <c r="AX3" s="1002" t="s">
        <v>137</v>
      </c>
      <c r="AY3" s="1004"/>
      <c r="AZ3" s="1002" t="s">
        <v>2</v>
      </c>
      <c r="BA3" s="1003"/>
    </row>
    <row r="4" spans="1:53" s="384" customFormat="1" ht="14.25" thickBot="1">
      <c r="A4" s="1007"/>
      <c r="B4" s="361" t="s">
        <v>228</v>
      </c>
      <c r="C4" s="362" t="s">
        <v>229</v>
      </c>
      <c r="D4" s="361" t="s">
        <v>228</v>
      </c>
      <c r="E4" s="362" t="s">
        <v>229</v>
      </c>
      <c r="F4" s="361" t="s">
        <v>228</v>
      </c>
      <c r="G4" s="362" t="s">
        <v>229</v>
      </c>
      <c r="H4" s="361" t="s">
        <v>228</v>
      </c>
      <c r="I4" s="362" t="s">
        <v>229</v>
      </c>
      <c r="J4" s="361" t="s">
        <v>228</v>
      </c>
      <c r="K4" s="362" t="s">
        <v>229</v>
      </c>
      <c r="L4" s="361" t="s">
        <v>228</v>
      </c>
      <c r="M4" s="362" t="s">
        <v>229</v>
      </c>
      <c r="N4" s="361" t="s">
        <v>228</v>
      </c>
      <c r="O4" s="362" t="s">
        <v>229</v>
      </c>
      <c r="P4" s="361" t="s">
        <v>228</v>
      </c>
      <c r="Q4" s="362" t="s">
        <v>229</v>
      </c>
      <c r="R4" s="361" t="s">
        <v>228</v>
      </c>
      <c r="S4" s="362" t="s">
        <v>229</v>
      </c>
      <c r="T4" s="361" t="s">
        <v>228</v>
      </c>
      <c r="U4" s="362" t="s">
        <v>229</v>
      </c>
      <c r="V4" s="361" t="s">
        <v>228</v>
      </c>
      <c r="W4" s="362" t="s">
        <v>229</v>
      </c>
      <c r="X4" s="361" t="s">
        <v>228</v>
      </c>
      <c r="Y4" s="362" t="s">
        <v>229</v>
      </c>
      <c r="Z4" s="361" t="s">
        <v>228</v>
      </c>
      <c r="AA4" s="362" t="s">
        <v>229</v>
      </c>
      <c r="AB4" s="361" t="s">
        <v>228</v>
      </c>
      <c r="AC4" s="362" t="s">
        <v>229</v>
      </c>
      <c r="AD4" s="361" t="s">
        <v>228</v>
      </c>
      <c r="AE4" s="362" t="s">
        <v>229</v>
      </c>
      <c r="AF4" s="361" t="s">
        <v>228</v>
      </c>
      <c r="AG4" s="362" t="s">
        <v>229</v>
      </c>
      <c r="AH4" s="361" t="s">
        <v>228</v>
      </c>
      <c r="AI4" s="362" t="s">
        <v>229</v>
      </c>
      <c r="AJ4" s="361" t="s">
        <v>228</v>
      </c>
      <c r="AK4" s="362" t="s">
        <v>229</v>
      </c>
      <c r="AL4" s="361" t="s">
        <v>228</v>
      </c>
      <c r="AM4" s="362" t="s">
        <v>229</v>
      </c>
      <c r="AN4" s="361" t="s">
        <v>228</v>
      </c>
      <c r="AO4" s="362" t="s">
        <v>229</v>
      </c>
      <c r="AP4" s="361" t="s">
        <v>228</v>
      </c>
      <c r="AQ4" s="362" t="s">
        <v>229</v>
      </c>
      <c r="AR4" s="361" t="s">
        <v>228</v>
      </c>
      <c r="AS4" s="362" t="s">
        <v>229</v>
      </c>
      <c r="AT4" s="361" t="s">
        <v>228</v>
      </c>
      <c r="AU4" s="362" t="s">
        <v>229</v>
      </c>
      <c r="AV4" s="361" t="s">
        <v>228</v>
      </c>
      <c r="AW4" s="362" t="s">
        <v>229</v>
      </c>
      <c r="AX4" s="361" t="s">
        <v>228</v>
      </c>
      <c r="AY4" s="362" t="s">
        <v>229</v>
      </c>
      <c r="AZ4" s="361" t="s">
        <v>228</v>
      </c>
      <c r="BA4" s="363" t="s">
        <v>229</v>
      </c>
    </row>
    <row r="5" spans="1:53" s="144" customFormat="1" ht="14.25">
      <c r="A5" s="277" t="s">
        <v>60</v>
      </c>
      <c r="B5" s="158"/>
      <c r="C5" s="156"/>
      <c r="D5" s="158"/>
      <c r="E5" s="156"/>
      <c r="F5" s="158"/>
      <c r="G5" s="156"/>
      <c r="H5" s="158"/>
      <c r="I5" s="156"/>
      <c r="J5" s="158"/>
      <c r="K5" s="156"/>
      <c r="L5" s="158"/>
      <c r="M5" s="156"/>
      <c r="N5" s="158"/>
      <c r="O5" s="156"/>
      <c r="P5" s="155"/>
      <c r="Q5" s="156"/>
      <c r="R5" s="158"/>
      <c r="S5" s="156"/>
      <c r="T5" s="155"/>
      <c r="U5" s="156"/>
      <c r="V5" s="155"/>
      <c r="W5" s="159"/>
      <c r="X5" s="158"/>
      <c r="Y5" s="159"/>
      <c r="Z5" s="158"/>
      <c r="AA5" s="156"/>
      <c r="AB5" s="158"/>
      <c r="AC5" s="159"/>
      <c r="AD5" s="158"/>
      <c r="AE5" s="156"/>
      <c r="AF5" s="158"/>
      <c r="AG5" s="156"/>
      <c r="AH5" s="158"/>
      <c r="AI5" s="156"/>
      <c r="AJ5" s="158"/>
      <c r="AK5" s="156"/>
      <c r="AL5" s="158"/>
      <c r="AM5" s="156"/>
      <c r="AN5" s="158"/>
      <c r="AO5" s="156"/>
      <c r="AP5" s="158"/>
      <c r="AQ5" s="156"/>
      <c r="AR5" s="158"/>
      <c r="AS5" s="156"/>
      <c r="AT5" s="158"/>
      <c r="AU5" s="156"/>
      <c r="AV5" s="158"/>
      <c r="AW5" s="156"/>
      <c r="AX5" s="158"/>
      <c r="AY5" s="156"/>
      <c r="AZ5" s="158"/>
      <c r="BA5" s="160"/>
    </row>
    <row r="6" spans="1:53" s="144" customFormat="1" ht="14.25">
      <c r="A6" s="162" t="s">
        <v>61</v>
      </c>
      <c r="B6" s="281">
        <v>850159</v>
      </c>
      <c r="C6" s="93">
        <v>2188105</v>
      </c>
      <c r="D6" s="84">
        <v>6911</v>
      </c>
      <c r="E6" s="85">
        <v>22854</v>
      </c>
      <c r="F6" s="84"/>
      <c r="G6" s="85"/>
      <c r="H6" s="84">
        <v>952056</v>
      </c>
      <c r="I6" s="85">
        <v>2313017</v>
      </c>
      <c r="J6" s="84">
        <v>210439</v>
      </c>
      <c r="K6" s="85">
        <v>635655</v>
      </c>
      <c r="L6" s="84">
        <v>552415</v>
      </c>
      <c r="M6" s="84">
        <v>1131400</v>
      </c>
      <c r="N6" s="84">
        <v>31161</v>
      </c>
      <c r="O6" s="85">
        <v>90780</v>
      </c>
      <c r="P6" s="114">
        <v>194099</v>
      </c>
      <c r="Q6" s="85">
        <v>467018</v>
      </c>
      <c r="R6" s="84">
        <v>344963</v>
      </c>
      <c r="S6" s="85">
        <v>863859</v>
      </c>
      <c r="T6" s="114">
        <v>34779</v>
      </c>
      <c r="U6" s="85">
        <v>128147</v>
      </c>
      <c r="V6" s="114">
        <v>3320634</v>
      </c>
      <c r="W6" s="95">
        <v>8316484</v>
      </c>
      <c r="X6" s="84">
        <v>2339074</v>
      </c>
      <c r="Y6" s="95">
        <v>5699733</v>
      </c>
      <c r="Z6" s="721">
        <v>102233</v>
      </c>
      <c r="AA6" s="99">
        <v>214822</v>
      </c>
      <c r="AB6" s="84">
        <v>383468</v>
      </c>
      <c r="AC6" s="95">
        <v>763767</v>
      </c>
      <c r="AD6" s="84">
        <v>550607</v>
      </c>
      <c r="AE6" s="85">
        <v>1444947</v>
      </c>
      <c r="AF6" s="84">
        <v>2117558</v>
      </c>
      <c r="AG6" s="84">
        <v>5179651</v>
      </c>
      <c r="AH6" s="84">
        <v>610441</v>
      </c>
      <c r="AI6" s="85">
        <v>1253248</v>
      </c>
      <c r="AJ6" s="84">
        <v>168430</v>
      </c>
      <c r="AK6" s="85">
        <v>440824</v>
      </c>
      <c r="AL6" s="385"/>
      <c r="AM6" s="85"/>
      <c r="AN6" s="183">
        <v>2679157</v>
      </c>
      <c r="AO6" s="182">
        <v>5653385</v>
      </c>
      <c r="AP6" s="386">
        <v>252421</v>
      </c>
      <c r="AQ6" s="101">
        <v>544436</v>
      </c>
      <c r="AR6" s="102">
        <v>308886</v>
      </c>
      <c r="AS6" s="103">
        <v>669120</v>
      </c>
      <c r="AT6" s="84">
        <v>1827249</v>
      </c>
      <c r="AU6" s="85">
        <v>4811986</v>
      </c>
      <c r="AV6" s="105">
        <f aca="true" t="shared" si="0" ref="AV6:AW14">SUM(B6+D6+F6+H6+J6+L6+N6+P6+R6+T6+V6+X6+Z6+AB6+AD6+AF6+AH6+AJ6+AL6+AN6+AP6+AR6+AT6)</f>
        <v>17837140</v>
      </c>
      <c r="AW6" s="115">
        <f t="shared" si="0"/>
        <v>42833238</v>
      </c>
      <c r="AX6" s="102">
        <v>22201334</v>
      </c>
      <c r="AY6" s="103">
        <v>56764635</v>
      </c>
      <c r="AZ6" s="105">
        <f aca="true" t="shared" si="1" ref="AZ6:BA14">AV6+AX6</f>
        <v>40038474</v>
      </c>
      <c r="BA6" s="106">
        <f t="shared" si="1"/>
        <v>99597873</v>
      </c>
    </row>
    <row r="7" spans="1:53" s="144" customFormat="1" ht="14.25">
      <c r="A7" s="162" t="s">
        <v>62</v>
      </c>
      <c r="B7" s="281">
        <v>434388</v>
      </c>
      <c r="C7" s="93">
        <v>1037249</v>
      </c>
      <c r="D7" s="84">
        <v>4165</v>
      </c>
      <c r="E7" s="85">
        <v>13142</v>
      </c>
      <c r="F7" s="84"/>
      <c r="G7" s="85"/>
      <c r="H7" s="84">
        <v>267134</v>
      </c>
      <c r="I7" s="85">
        <v>662683</v>
      </c>
      <c r="J7" s="84">
        <v>145096</v>
      </c>
      <c r="K7" s="85">
        <v>369643</v>
      </c>
      <c r="L7" s="84">
        <v>199335</v>
      </c>
      <c r="M7" s="84">
        <v>536167</v>
      </c>
      <c r="N7" s="84">
        <v>29176</v>
      </c>
      <c r="O7" s="85">
        <v>84407</v>
      </c>
      <c r="P7" s="114">
        <v>50645</v>
      </c>
      <c r="Q7" s="85">
        <v>124503</v>
      </c>
      <c r="R7" s="84">
        <v>142872</v>
      </c>
      <c r="S7" s="85">
        <v>415665</v>
      </c>
      <c r="T7" s="114">
        <v>25552</v>
      </c>
      <c r="U7" s="85">
        <v>61133</v>
      </c>
      <c r="V7" s="114">
        <v>681610</v>
      </c>
      <c r="W7" s="95">
        <v>1849274</v>
      </c>
      <c r="X7" s="84">
        <v>1017164</v>
      </c>
      <c r="Y7" s="95">
        <v>2739511</v>
      </c>
      <c r="Z7" s="721">
        <v>49742</v>
      </c>
      <c r="AA7" s="99">
        <v>135925</v>
      </c>
      <c r="AB7" s="84">
        <v>98808</v>
      </c>
      <c r="AC7" s="95">
        <v>265218</v>
      </c>
      <c r="AD7" s="84">
        <v>472816</v>
      </c>
      <c r="AE7" s="85">
        <v>1036134</v>
      </c>
      <c r="AF7" s="84">
        <v>773896</v>
      </c>
      <c r="AG7" s="84">
        <v>1977772</v>
      </c>
      <c r="AH7" s="84">
        <v>289154</v>
      </c>
      <c r="AI7" s="85">
        <v>696077</v>
      </c>
      <c r="AJ7" s="84">
        <v>182970</v>
      </c>
      <c r="AK7" s="85">
        <v>504136</v>
      </c>
      <c r="AL7" s="385"/>
      <c r="AM7" s="85"/>
      <c r="AN7" s="183">
        <v>2172053</v>
      </c>
      <c r="AO7" s="182">
        <v>5178273</v>
      </c>
      <c r="AP7" s="386">
        <v>94599</v>
      </c>
      <c r="AQ7" s="101">
        <v>214070</v>
      </c>
      <c r="AR7" s="102">
        <v>149754</v>
      </c>
      <c r="AS7" s="103">
        <v>507335</v>
      </c>
      <c r="AT7" s="84">
        <v>566596</v>
      </c>
      <c r="AU7" s="85">
        <v>1323731</v>
      </c>
      <c r="AV7" s="105">
        <f t="shared" si="0"/>
        <v>7847525</v>
      </c>
      <c r="AW7" s="115">
        <f t="shared" si="0"/>
        <v>19732048</v>
      </c>
      <c r="AX7" s="102">
        <v>29648677</v>
      </c>
      <c r="AY7" s="103">
        <v>78799705</v>
      </c>
      <c r="AZ7" s="105">
        <f t="shared" si="1"/>
        <v>37496202</v>
      </c>
      <c r="BA7" s="106">
        <f t="shared" si="1"/>
        <v>98531753</v>
      </c>
    </row>
    <row r="8" spans="1:53" s="144" customFormat="1" ht="14.25">
      <c r="A8" s="162" t="s">
        <v>63</v>
      </c>
      <c r="B8" s="281">
        <v>23774</v>
      </c>
      <c r="C8" s="93">
        <v>47331</v>
      </c>
      <c r="D8" s="84">
        <v>6</v>
      </c>
      <c r="E8" s="85">
        <v>82</v>
      </c>
      <c r="F8" s="84"/>
      <c r="G8" s="85"/>
      <c r="H8" s="84">
        <v>139495</v>
      </c>
      <c r="I8" s="85">
        <v>301432</v>
      </c>
      <c r="J8" s="84">
        <v>-3148</v>
      </c>
      <c r="K8" s="85">
        <v>13307</v>
      </c>
      <c r="L8" s="84">
        <v>34968</v>
      </c>
      <c r="M8" s="84">
        <v>93951</v>
      </c>
      <c r="N8" s="84">
        <v>14959</v>
      </c>
      <c r="O8" s="85">
        <v>29194</v>
      </c>
      <c r="P8" s="114">
        <v>1012</v>
      </c>
      <c r="Q8" s="85">
        <v>2275</v>
      </c>
      <c r="R8" s="84">
        <v>1919</v>
      </c>
      <c r="S8" s="85">
        <v>3136</v>
      </c>
      <c r="T8" s="114">
        <v>14132</v>
      </c>
      <c r="U8" s="85">
        <v>19466</v>
      </c>
      <c r="V8" s="114">
        <v>411415</v>
      </c>
      <c r="W8" s="95">
        <v>795064</v>
      </c>
      <c r="X8" s="84">
        <v>260610</v>
      </c>
      <c r="Y8" s="95">
        <v>532961</v>
      </c>
      <c r="Z8" s="721">
        <v>19863</v>
      </c>
      <c r="AA8" s="99">
        <v>49563</v>
      </c>
      <c r="AB8" s="84">
        <v>24233</v>
      </c>
      <c r="AC8" s="95">
        <v>57387</v>
      </c>
      <c r="AD8" s="84">
        <v>131765</v>
      </c>
      <c r="AE8" s="85">
        <v>260402</v>
      </c>
      <c r="AF8" s="84">
        <v>86373</v>
      </c>
      <c r="AG8" s="84">
        <v>162373</v>
      </c>
      <c r="AH8" s="84">
        <v>48346</v>
      </c>
      <c r="AI8" s="85">
        <v>98110</v>
      </c>
      <c r="AJ8" s="84">
        <v>963</v>
      </c>
      <c r="AK8" s="85">
        <v>2188</v>
      </c>
      <c r="AL8" s="385"/>
      <c r="AM8" s="85"/>
      <c r="AN8" s="183">
        <v>320286</v>
      </c>
      <c r="AO8" s="182">
        <v>738201</v>
      </c>
      <c r="AP8" s="386">
        <v>7283</v>
      </c>
      <c r="AQ8" s="101">
        <v>11101</v>
      </c>
      <c r="AR8" s="102">
        <v>36440</v>
      </c>
      <c r="AS8" s="103">
        <v>69157</v>
      </c>
      <c r="AT8" s="84">
        <v>31054</v>
      </c>
      <c r="AU8" s="85">
        <v>89678</v>
      </c>
      <c r="AV8" s="105">
        <f t="shared" si="0"/>
        <v>1605748</v>
      </c>
      <c r="AW8" s="115">
        <f t="shared" si="0"/>
        <v>3376359</v>
      </c>
      <c r="AX8" s="102">
        <v>1617081</v>
      </c>
      <c r="AY8" s="103">
        <v>4489009</v>
      </c>
      <c r="AZ8" s="105">
        <f t="shared" si="1"/>
        <v>3222829</v>
      </c>
      <c r="BA8" s="106">
        <f t="shared" si="1"/>
        <v>7865368</v>
      </c>
    </row>
    <row r="9" spans="1:53" s="390" customFormat="1" ht="14.25">
      <c r="A9" s="163" t="s">
        <v>54</v>
      </c>
      <c r="B9" s="76">
        <f aca="true" t="shared" si="2" ref="B9:G9">SUM(B6:B8)</f>
        <v>1308321</v>
      </c>
      <c r="C9" s="76">
        <f t="shared" si="2"/>
        <v>3272685</v>
      </c>
      <c r="D9" s="105">
        <f t="shared" si="2"/>
        <v>11082</v>
      </c>
      <c r="E9" s="85">
        <f t="shared" si="2"/>
        <v>36078</v>
      </c>
      <c r="F9" s="105">
        <f t="shared" si="2"/>
        <v>0</v>
      </c>
      <c r="G9" s="85">
        <f t="shared" si="2"/>
        <v>0</v>
      </c>
      <c r="H9" s="105">
        <f aca="true" t="shared" si="3" ref="H9:O9">SUM(H6:H8)</f>
        <v>1358685</v>
      </c>
      <c r="I9" s="115">
        <f t="shared" si="3"/>
        <v>3277132</v>
      </c>
      <c r="J9" s="105">
        <f t="shared" si="3"/>
        <v>352387</v>
      </c>
      <c r="K9" s="115">
        <f t="shared" si="3"/>
        <v>1018605</v>
      </c>
      <c r="L9" s="105">
        <f t="shared" si="3"/>
        <v>786718</v>
      </c>
      <c r="M9" s="115">
        <f t="shared" si="3"/>
        <v>1761518</v>
      </c>
      <c r="N9" s="105">
        <f t="shared" si="3"/>
        <v>75296</v>
      </c>
      <c r="O9" s="85">
        <f t="shared" si="3"/>
        <v>204381</v>
      </c>
      <c r="P9" s="115">
        <f>SUM(P6:P8)</f>
        <v>245756</v>
      </c>
      <c r="Q9" s="85">
        <f>SUM(Q6:Q8)</f>
        <v>593796</v>
      </c>
      <c r="R9" s="105">
        <f>SUM(R6:R8)</f>
        <v>489754</v>
      </c>
      <c r="S9" s="85">
        <f>SUM(S6:S8)</f>
        <v>1282660</v>
      </c>
      <c r="T9" s="115">
        <f aca="true" t="shared" si="4" ref="T9:AA9">SUM(T6:T8)</f>
        <v>74463</v>
      </c>
      <c r="U9" s="85">
        <f t="shared" si="4"/>
        <v>208746</v>
      </c>
      <c r="V9" s="115">
        <f t="shared" si="4"/>
        <v>4413659</v>
      </c>
      <c r="W9" s="95">
        <f t="shared" si="4"/>
        <v>10960822</v>
      </c>
      <c r="X9" s="105">
        <f t="shared" si="4"/>
        <v>3616848</v>
      </c>
      <c r="Y9" s="116">
        <f t="shared" si="4"/>
        <v>8972205</v>
      </c>
      <c r="Z9" s="105">
        <f t="shared" si="4"/>
        <v>171838</v>
      </c>
      <c r="AA9" s="99">
        <f t="shared" si="4"/>
        <v>400310</v>
      </c>
      <c r="AB9" s="105">
        <f aca="true" t="shared" si="5" ref="AB9:AL9">SUM(AB6:AB8)</f>
        <v>506509</v>
      </c>
      <c r="AC9" s="95">
        <f t="shared" si="5"/>
        <v>1086372</v>
      </c>
      <c r="AD9" s="105">
        <f t="shared" si="5"/>
        <v>1155188</v>
      </c>
      <c r="AE9" s="85">
        <f t="shared" si="5"/>
        <v>2741483</v>
      </c>
      <c r="AF9" s="105">
        <f t="shared" si="5"/>
        <v>2977827</v>
      </c>
      <c r="AG9" s="115">
        <f t="shared" si="5"/>
        <v>7319796</v>
      </c>
      <c r="AH9" s="105">
        <f t="shared" si="5"/>
        <v>947941</v>
      </c>
      <c r="AI9" s="85">
        <f t="shared" si="5"/>
        <v>2047435</v>
      </c>
      <c r="AJ9" s="105">
        <f t="shared" si="5"/>
        <v>352363</v>
      </c>
      <c r="AK9" s="115">
        <f t="shared" si="5"/>
        <v>947148</v>
      </c>
      <c r="AL9" s="105">
        <f t="shared" si="5"/>
        <v>0</v>
      </c>
      <c r="AM9" s="85">
        <f>AL9</f>
        <v>0</v>
      </c>
      <c r="AN9" s="105">
        <f aca="true" t="shared" si="6" ref="AN9:AS9">SUM(AN6:AN8)</f>
        <v>5171496</v>
      </c>
      <c r="AO9" s="115">
        <f t="shared" si="6"/>
        <v>11569859</v>
      </c>
      <c r="AP9" s="105">
        <f t="shared" si="6"/>
        <v>354303</v>
      </c>
      <c r="AQ9" s="115">
        <f t="shared" si="6"/>
        <v>769607</v>
      </c>
      <c r="AR9" s="388">
        <f t="shared" si="6"/>
        <v>495080</v>
      </c>
      <c r="AS9" s="103">
        <f t="shared" si="6"/>
        <v>1245612</v>
      </c>
      <c r="AT9" s="388">
        <f>SUM(AT6:AT8)</f>
        <v>2424899</v>
      </c>
      <c r="AU9" s="166">
        <f>SUM(AU6:AU8)</f>
        <v>6225395</v>
      </c>
      <c r="AV9" s="105">
        <f t="shared" si="0"/>
        <v>27290413</v>
      </c>
      <c r="AW9" s="115">
        <f t="shared" si="0"/>
        <v>65941645</v>
      </c>
      <c r="AX9" s="389">
        <f>SUM(AX6:AX8)</f>
        <v>53467092</v>
      </c>
      <c r="AY9" s="389">
        <f>SUM(AY6:AY8)</f>
        <v>140053349</v>
      </c>
      <c r="AZ9" s="105">
        <f t="shared" si="1"/>
        <v>80757505</v>
      </c>
      <c r="BA9" s="106">
        <f t="shared" si="1"/>
        <v>205994994</v>
      </c>
    </row>
    <row r="10" spans="1:53" s="144" customFormat="1" ht="14.25">
      <c r="A10" s="162" t="s">
        <v>64</v>
      </c>
      <c r="B10" s="76"/>
      <c r="C10" s="93">
        <f>B10</f>
        <v>0</v>
      </c>
      <c r="D10" s="105"/>
      <c r="E10" s="85">
        <f>D10</f>
        <v>0</v>
      </c>
      <c r="F10" s="105"/>
      <c r="G10" s="85">
        <f>F10</f>
        <v>0</v>
      </c>
      <c r="H10" s="105"/>
      <c r="I10" s="85">
        <f>H10</f>
        <v>0</v>
      </c>
      <c r="J10" s="105"/>
      <c r="K10" s="85">
        <f>J10</f>
        <v>0</v>
      </c>
      <c r="L10" s="105"/>
      <c r="M10" s="85">
        <f>L10</f>
        <v>0</v>
      </c>
      <c r="N10" s="105"/>
      <c r="O10" s="85">
        <f>N10</f>
        <v>0</v>
      </c>
      <c r="P10" s="115"/>
      <c r="Q10" s="85">
        <f>P10</f>
        <v>0</v>
      </c>
      <c r="R10" s="105"/>
      <c r="S10" s="85">
        <f>R10</f>
        <v>0</v>
      </c>
      <c r="T10" s="115"/>
      <c r="U10" s="85">
        <f>T10</f>
        <v>0</v>
      </c>
      <c r="V10" s="115"/>
      <c r="W10" s="95">
        <f>V10</f>
        <v>0</v>
      </c>
      <c r="X10" s="105"/>
      <c r="Y10" s="95">
        <f>X10</f>
        <v>0</v>
      </c>
      <c r="Z10" s="721"/>
      <c r="AA10" s="99">
        <f>Z10</f>
        <v>0</v>
      </c>
      <c r="AB10" s="105"/>
      <c r="AC10" s="95">
        <f>AB10</f>
        <v>0</v>
      </c>
      <c r="AD10" s="720"/>
      <c r="AE10" s="85">
        <f>AD10</f>
        <v>0</v>
      </c>
      <c r="AF10" s="105"/>
      <c r="AG10" s="85">
        <f>AF10</f>
        <v>0</v>
      </c>
      <c r="AH10" s="105"/>
      <c r="AI10" s="85">
        <f>AH10</f>
        <v>0</v>
      </c>
      <c r="AJ10" s="105"/>
      <c r="AK10" s="85">
        <f>AJ10</f>
        <v>0</v>
      </c>
      <c r="AL10" s="385"/>
      <c r="AM10" s="85">
        <f>AL10</f>
        <v>0</v>
      </c>
      <c r="AN10" s="84"/>
      <c r="AO10" s="182">
        <f>AN10</f>
        <v>0</v>
      </c>
      <c r="AP10" s="386"/>
      <c r="AQ10" s="101">
        <f>AP10</f>
        <v>0</v>
      </c>
      <c r="AR10" s="102"/>
      <c r="AS10" s="103">
        <f>AR10</f>
        <v>0</v>
      </c>
      <c r="AT10" s="105"/>
      <c r="AU10" s="85">
        <f>AT10</f>
        <v>0</v>
      </c>
      <c r="AV10" s="105">
        <f t="shared" si="0"/>
        <v>0</v>
      </c>
      <c r="AW10" s="115">
        <f t="shared" si="0"/>
        <v>0</v>
      </c>
      <c r="AX10" s="105"/>
      <c r="AY10" s="103">
        <f>AX10</f>
        <v>0</v>
      </c>
      <c r="AZ10" s="105">
        <f t="shared" si="1"/>
        <v>0</v>
      </c>
      <c r="BA10" s="106">
        <f t="shared" si="1"/>
        <v>0</v>
      </c>
    </row>
    <row r="11" spans="1:53" s="144" customFormat="1" ht="14.25">
      <c r="A11" s="162" t="s">
        <v>65</v>
      </c>
      <c r="B11" s="281"/>
      <c r="C11" s="93">
        <f>B11</f>
        <v>0</v>
      </c>
      <c r="D11" s="84"/>
      <c r="E11" s="85">
        <f>D11</f>
        <v>0</v>
      </c>
      <c r="F11" s="84"/>
      <c r="G11" s="85">
        <f>F11</f>
        <v>0</v>
      </c>
      <c r="H11" s="84">
        <v>-143</v>
      </c>
      <c r="I11" s="85">
        <v>-75</v>
      </c>
      <c r="J11" s="84"/>
      <c r="K11" s="85">
        <f>J11</f>
        <v>0</v>
      </c>
      <c r="L11" s="84"/>
      <c r="M11" s="85">
        <f>L11</f>
        <v>0</v>
      </c>
      <c r="N11" s="84"/>
      <c r="O11" s="85">
        <f>N11</f>
        <v>0</v>
      </c>
      <c r="P11" s="114"/>
      <c r="Q11" s="85">
        <f>P11</f>
        <v>0</v>
      </c>
      <c r="R11" s="84"/>
      <c r="S11" s="85">
        <f>R11</f>
        <v>0</v>
      </c>
      <c r="T11" s="114"/>
      <c r="U11" s="85">
        <f>T11</f>
        <v>0</v>
      </c>
      <c r="V11" s="114"/>
      <c r="W11" s="95">
        <f>V11</f>
        <v>0</v>
      </c>
      <c r="X11" s="84"/>
      <c r="Y11" s="95">
        <f>X11</f>
        <v>0</v>
      </c>
      <c r="Z11" s="84"/>
      <c r="AA11" s="99">
        <f>Z11</f>
        <v>0</v>
      </c>
      <c r="AB11" s="84"/>
      <c r="AC11" s="95">
        <f>AB11</f>
        <v>0</v>
      </c>
      <c r="AD11" s="84"/>
      <c r="AE11" s="85">
        <f>AD11</f>
        <v>0</v>
      </c>
      <c r="AF11" s="84"/>
      <c r="AG11" s="85">
        <f>AF11</f>
        <v>0</v>
      </c>
      <c r="AH11" s="84"/>
      <c r="AI11" s="85">
        <f>AH11</f>
        <v>0</v>
      </c>
      <c r="AJ11" s="84"/>
      <c r="AK11" s="85">
        <f>AJ11</f>
        <v>0</v>
      </c>
      <c r="AL11" s="385"/>
      <c r="AM11" s="85">
        <f>AL11</f>
        <v>0</v>
      </c>
      <c r="AN11" s="84"/>
      <c r="AO11" s="182">
        <f>AN11</f>
        <v>0</v>
      </c>
      <c r="AP11" s="386"/>
      <c r="AQ11" s="101">
        <f>AP11</f>
        <v>0</v>
      </c>
      <c r="AR11" s="102"/>
      <c r="AS11" s="103">
        <f>AR11</f>
        <v>0</v>
      </c>
      <c r="AT11" s="84">
        <v>706</v>
      </c>
      <c r="AU11" s="85">
        <v>2106</v>
      </c>
      <c r="AV11" s="105">
        <f t="shared" si="0"/>
        <v>563</v>
      </c>
      <c r="AW11" s="115">
        <f t="shared" si="0"/>
        <v>2031</v>
      </c>
      <c r="AX11" s="102">
        <v>1565</v>
      </c>
      <c r="AY11" s="103">
        <v>1565</v>
      </c>
      <c r="AZ11" s="105">
        <f t="shared" si="1"/>
        <v>2128</v>
      </c>
      <c r="BA11" s="106">
        <f t="shared" si="1"/>
        <v>3596</v>
      </c>
    </row>
    <row r="12" spans="1:53" s="390" customFormat="1" ht="14.25">
      <c r="A12" s="163" t="s">
        <v>66</v>
      </c>
      <c r="B12" s="76">
        <f aca="true" t="shared" si="7" ref="B12:G12">B9</f>
        <v>1308321</v>
      </c>
      <c r="C12" s="76">
        <f t="shared" si="7"/>
        <v>3272685</v>
      </c>
      <c r="D12" s="76">
        <f t="shared" si="7"/>
        <v>11082</v>
      </c>
      <c r="E12" s="109">
        <f t="shared" si="7"/>
        <v>36078</v>
      </c>
      <c r="F12" s="76">
        <f t="shared" si="7"/>
        <v>0</v>
      </c>
      <c r="G12" s="109">
        <f t="shared" si="7"/>
        <v>0</v>
      </c>
      <c r="H12" s="76">
        <f>H9-H11</f>
        <v>1358828</v>
      </c>
      <c r="I12" s="109">
        <f>I9-I11</f>
        <v>3277207</v>
      </c>
      <c r="J12" s="76">
        <f aca="true" t="shared" si="8" ref="J12:W12">J9</f>
        <v>352387</v>
      </c>
      <c r="K12" s="76">
        <f t="shared" si="8"/>
        <v>1018605</v>
      </c>
      <c r="L12" s="76">
        <f t="shared" si="8"/>
        <v>786718</v>
      </c>
      <c r="M12" s="76">
        <f t="shared" si="8"/>
        <v>1761518</v>
      </c>
      <c r="N12" s="76">
        <f t="shared" si="8"/>
        <v>75296</v>
      </c>
      <c r="O12" s="76">
        <f t="shared" si="8"/>
        <v>204381</v>
      </c>
      <c r="P12" s="108">
        <f t="shared" si="8"/>
        <v>245756</v>
      </c>
      <c r="Q12" s="109">
        <f t="shared" si="8"/>
        <v>593796</v>
      </c>
      <c r="R12" s="76">
        <f t="shared" si="8"/>
        <v>489754</v>
      </c>
      <c r="S12" s="76">
        <f t="shared" si="8"/>
        <v>1282660</v>
      </c>
      <c r="T12" s="108">
        <f t="shared" si="8"/>
        <v>74463</v>
      </c>
      <c r="U12" s="109">
        <f t="shared" si="8"/>
        <v>208746</v>
      </c>
      <c r="V12" s="76">
        <f t="shared" si="8"/>
        <v>4413659</v>
      </c>
      <c r="W12" s="76">
        <f t="shared" si="8"/>
        <v>10960822</v>
      </c>
      <c r="X12" s="76">
        <f aca="true" t="shared" si="9" ref="X12:AE12">X9</f>
        <v>3616848</v>
      </c>
      <c r="Y12" s="110">
        <f t="shared" si="9"/>
        <v>8972205</v>
      </c>
      <c r="Z12" s="76">
        <f t="shared" si="9"/>
        <v>171838</v>
      </c>
      <c r="AA12" s="637">
        <f t="shared" si="9"/>
        <v>400310</v>
      </c>
      <c r="AB12" s="76">
        <f t="shared" si="9"/>
        <v>506509</v>
      </c>
      <c r="AC12" s="110">
        <f t="shared" si="9"/>
        <v>1086372</v>
      </c>
      <c r="AD12" s="76">
        <f t="shared" si="9"/>
        <v>1155188</v>
      </c>
      <c r="AE12" s="109">
        <f t="shared" si="9"/>
        <v>2741483</v>
      </c>
      <c r="AF12" s="105">
        <f aca="true" t="shared" si="10" ref="AF12:AL12">AF9</f>
        <v>2977827</v>
      </c>
      <c r="AG12" s="105">
        <f t="shared" si="10"/>
        <v>7319796</v>
      </c>
      <c r="AH12" s="105">
        <f t="shared" si="10"/>
        <v>947941</v>
      </c>
      <c r="AI12" s="109">
        <f t="shared" si="10"/>
        <v>2047435</v>
      </c>
      <c r="AJ12" s="105">
        <f t="shared" si="10"/>
        <v>352363</v>
      </c>
      <c r="AK12" s="105">
        <f t="shared" si="10"/>
        <v>947148</v>
      </c>
      <c r="AL12" s="105">
        <f t="shared" si="10"/>
        <v>0</v>
      </c>
      <c r="AM12" s="109">
        <f>AM12</f>
        <v>0</v>
      </c>
      <c r="AN12" s="388">
        <f aca="true" t="shared" si="11" ref="AN12:AS12">AN9</f>
        <v>5171496</v>
      </c>
      <c r="AO12" s="166">
        <f t="shared" si="11"/>
        <v>11569859</v>
      </c>
      <c r="AP12" s="388">
        <f t="shared" si="11"/>
        <v>354303</v>
      </c>
      <c r="AQ12" s="166">
        <f t="shared" si="11"/>
        <v>769607</v>
      </c>
      <c r="AR12" s="388">
        <f t="shared" si="11"/>
        <v>495080</v>
      </c>
      <c r="AS12" s="638">
        <f t="shared" si="11"/>
        <v>1245612</v>
      </c>
      <c r="AT12" s="388">
        <f>AT9-AT11</f>
        <v>2424193</v>
      </c>
      <c r="AU12" s="388">
        <f>AU9-AU11</f>
        <v>6223289</v>
      </c>
      <c r="AV12" s="105">
        <f t="shared" si="0"/>
        <v>27289850</v>
      </c>
      <c r="AW12" s="115">
        <f t="shared" si="0"/>
        <v>0</v>
      </c>
      <c r="AX12" s="389">
        <f>AX9-AX11</f>
        <v>53465527</v>
      </c>
      <c r="AY12" s="389">
        <f>AY9-AY11</f>
        <v>140051784</v>
      </c>
      <c r="AZ12" s="105">
        <f t="shared" si="1"/>
        <v>80755377</v>
      </c>
      <c r="BA12" s="106">
        <f t="shared" si="1"/>
        <v>0</v>
      </c>
    </row>
    <row r="13" spans="1:53" s="390" customFormat="1" ht="14.25">
      <c r="A13" s="163" t="s">
        <v>224</v>
      </c>
      <c r="B13" s="76">
        <v>135150</v>
      </c>
      <c r="C13" s="108">
        <v>264963</v>
      </c>
      <c r="D13" s="76"/>
      <c r="E13" s="109"/>
      <c r="F13" s="76"/>
      <c r="G13" s="109"/>
      <c r="H13" s="76">
        <v>72874</v>
      </c>
      <c r="I13" s="109">
        <v>223000</v>
      </c>
      <c r="J13" s="76">
        <v>9924</v>
      </c>
      <c r="K13" s="108">
        <v>96675</v>
      </c>
      <c r="L13" s="76"/>
      <c r="M13" s="109"/>
      <c r="N13" s="76">
        <v>837</v>
      </c>
      <c r="O13" s="109">
        <v>1446</v>
      </c>
      <c r="P13" s="108">
        <v>40510</v>
      </c>
      <c r="Q13" s="109">
        <v>69551</v>
      </c>
      <c r="R13" s="76">
        <v>37207</v>
      </c>
      <c r="S13" s="109">
        <v>109752</v>
      </c>
      <c r="T13" s="108">
        <v>852</v>
      </c>
      <c r="U13" s="109">
        <v>2890</v>
      </c>
      <c r="V13" s="108">
        <v>68389</v>
      </c>
      <c r="W13" s="110">
        <v>167952</v>
      </c>
      <c r="X13" s="76">
        <v>243764</v>
      </c>
      <c r="Y13" s="110">
        <v>454196</v>
      </c>
      <c r="Z13" s="76"/>
      <c r="AA13" s="637"/>
      <c r="AB13" s="76"/>
      <c r="AC13" s="110">
        <v>80</v>
      </c>
      <c r="AD13" s="76">
        <v>85505</v>
      </c>
      <c r="AE13" s="109">
        <v>135943</v>
      </c>
      <c r="AF13" s="105">
        <v>58612</v>
      </c>
      <c r="AG13" s="105">
        <v>216777</v>
      </c>
      <c r="AH13" s="105">
        <v>9866</v>
      </c>
      <c r="AI13" s="109">
        <v>31262</v>
      </c>
      <c r="AJ13" s="105">
        <v>9895</v>
      </c>
      <c r="AK13" s="115">
        <v>34522</v>
      </c>
      <c r="AL13" s="105"/>
      <c r="AM13" s="109"/>
      <c r="AN13" s="388">
        <v>153533</v>
      </c>
      <c r="AO13" s="166">
        <v>322307</v>
      </c>
      <c r="AP13" s="388">
        <v>15138</v>
      </c>
      <c r="AQ13" s="166">
        <v>30506</v>
      </c>
      <c r="AR13" s="388"/>
      <c r="AS13" s="638"/>
      <c r="AT13" s="388">
        <v>115382</v>
      </c>
      <c r="AU13" s="770">
        <v>422223</v>
      </c>
      <c r="AV13" s="105">
        <f t="shared" si="0"/>
        <v>1057438</v>
      </c>
      <c r="AW13" s="115">
        <f t="shared" si="0"/>
        <v>2584045</v>
      </c>
      <c r="AX13" s="389">
        <v>1827450</v>
      </c>
      <c r="AY13" s="771">
        <v>4693588</v>
      </c>
      <c r="AZ13" s="105">
        <f t="shared" si="1"/>
        <v>2884888</v>
      </c>
      <c r="BA13" s="106">
        <f t="shared" si="1"/>
        <v>7277633</v>
      </c>
    </row>
    <row r="14" spans="1:53" s="390" customFormat="1" ht="14.25">
      <c r="A14" s="163" t="s">
        <v>225</v>
      </c>
      <c r="B14" s="76">
        <f>B12+B13</f>
        <v>1443471</v>
      </c>
      <c r="C14" s="76">
        <f>C12+C13</f>
        <v>3537648</v>
      </c>
      <c r="D14" s="76">
        <f aca="true" t="shared" si="12" ref="D14:J14">D12+D13</f>
        <v>11082</v>
      </c>
      <c r="E14" s="76">
        <f t="shared" si="12"/>
        <v>36078</v>
      </c>
      <c r="F14" s="76">
        <f t="shared" si="12"/>
        <v>0</v>
      </c>
      <c r="G14" s="76">
        <f t="shared" si="12"/>
        <v>0</v>
      </c>
      <c r="H14" s="76">
        <f t="shared" si="12"/>
        <v>1431702</v>
      </c>
      <c r="I14" s="76">
        <f t="shared" si="12"/>
        <v>3500207</v>
      </c>
      <c r="J14" s="76">
        <f t="shared" si="12"/>
        <v>362311</v>
      </c>
      <c r="K14" s="76">
        <f aca="true" t="shared" si="13" ref="K14:AU14">K12+K13</f>
        <v>1115280</v>
      </c>
      <c r="L14" s="76">
        <f t="shared" si="13"/>
        <v>786718</v>
      </c>
      <c r="M14" s="76">
        <f t="shared" si="13"/>
        <v>1761518</v>
      </c>
      <c r="N14" s="76">
        <f t="shared" si="13"/>
        <v>76133</v>
      </c>
      <c r="O14" s="76">
        <f t="shared" si="13"/>
        <v>205827</v>
      </c>
      <c r="P14" s="76">
        <f t="shared" si="13"/>
        <v>286266</v>
      </c>
      <c r="Q14" s="76">
        <f t="shared" si="13"/>
        <v>663347</v>
      </c>
      <c r="R14" s="76">
        <f t="shared" si="13"/>
        <v>526961</v>
      </c>
      <c r="S14" s="76">
        <f t="shared" si="13"/>
        <v>1392412</v>
      </c>
      <c r="T14" s="76">
        <f t="shared" si="13"/>
        <v>75315</v>
      </c>
      <c r="U14" s="76">
        <f t="shared" si="13"/>
        <v>211636</v>
      </c>
      <c r="V14" s="76">
        <f t="shared" si="13"/>
        <v>4482048</v>
      </c>
      <c r="W14" s="76">
        <f t="shared" si="13"/>
        <v>11128774</v>
      </c>
      <c r="X14" s="76">
        <f t="shared" si="13"/>
        <v>3860612</v>
      </c>
      <c r="Y14" s="76">
        <f t="shared" si="13"/>
        <v>9426401</v>
      </c>
      <c r="Z14" s="76">
        <f t="shared" si="13"/>
        <v>171838</v>
      </c>
      <c r="AA14" s="76">
        <f t="shared" si="13"/>
        <v>400310</v>
      </c>
      <c r="AB14" s="76">
        <f t="shared" si="13"/>
        <v>506509</v>
      </c>
      <c r="AC14" s="76">
        <f t="shared" si="13"/>
        <v>1086452</v>
      </c>
      <c r="AD14" s="76">
        <f t="shared" si="13"/>
        <v>1240693</v>
      </c>
      <c r="AE14" s="76">
        <f t="shared" si="13"/>
        <v>2877426</v>
      </c>
      <c r="AF14" s="76">
        <f t="shared" si="13"/>
        <v>3036439</v>
      </c>
      <c r="AG14" s="76">
        <f t="shared" si="13"/>
        <v>7536573</v>
      </c>
      <c r="AH14" s="76">
        <f t="shared" si="13"/>
        <v>957807</v>
      </c>
      <c r="AI14" s="76">
        <f t="shared" si="13"/>
        <v>2078697</v>
      </c>
      <c r="AJ14" s="76">
        <f t="shared" si="13"/>
        <v>362258</v>
      </c>
      <c r="AK14" s="76">
        <f t="shared" si="13"/>
        <v>981670</v>
      </c>
      <c r="AL14" s="76">
        <f t="shared" si="13"/>
        <v>0</v>
      </c>
      <c r="AM14" s="76">
        <f t="shared" si="13"/>
        <v>0</v>
      </c>
      <c r="AN14" s="76">
        <f t="shared" si="13"/>
        <v>5325029</v>
      </c>
      <c r="AO14" s="76">
        <f t="shared" si="13"/>
        <v>11892166</v>
      </c>
      <c r="AP14" s="76">
        <f t="shared" si="13"/>
        <v>369441</v>
      </c>
      <c r="AQ14" s="76">
        <f t="shared" si="13"/>
        <v>800113</v>
      </c>
      <c r="AR14" s="76">
        <f t="shared" si="13"/>
        <v>495080</v>
      </c>
      <c r="AS14" s="76">
        <f t="shared" si="13"/>
        <v>1245612</v>
      </c>
      <c r="AT14" s="76">
        <f t="shared" si="13"/>
        <v>2539575</v>
      </c>
      <c r="AU14" s="76">
        <f t="shared" si="13"/>
        <v>6645512</v>
      </c>
      <c r="AV14" s="105">
        <f t="shared" si="0"/>
        <v>28347288</v>
      </c>
      <c r="AW14" s="115">
        <f t="shared" si="0"/>
        <v>0</v>
      </c>
      <c r="AX14" s="389">
        <f>AX12+AX13</f>
        <v>55292977</v>
      </c>
      <c r="AY14" s="389">
        <f>AY12+AY13</f>
        <v>144745372</v>
      </c>
      <c r="AZ14" s="105">
        <f t="shared" si="1"/>
        <v>83640265</v>
      </c>
      <c r="BA14" s="106">
        <f t="shared" si="1"/>
        <v>0</v>
      </c>
    </row>
    <row r="15" spans="1:53" s="144" customFormat="1" ht="14.25">
      <c r="A15" s="163" t="s">
        <v>67</v>
      </c>
      <c r="B15" s="281"/>
      <c r="C15" s="93">
        <f>B15</f>
        <v>0</v>
      </c>
      <c r="D15" s="84"/>
      <c r="E15" s="85">
        <f>D15</f>
        <v>0</v>
      </c>
      <c r="F15" s="84"/>
      <c r="G15" s="85">
        <f>F15</f>
        <v>0</v>
      </c>
      <c r="H15" s="84"/>
      <c r="I15" s="85"/>
      <c r="J15" s="84"/>
      <c r="K15" s="85">
        <f>J15</f>
        <v>0</v>
      </c>
      <c r="L15" s="84"/>
      <c r="M15" s="85">
        <f>L15</f>
        <v>0</v>
      </c>
      <c r="N15" s="84"/>
      <c r="O15" s="85">
        <f>N15</f>
        <v>0</v>
      </c>
      <c r="P15" s="114"/>
      <c r="Q15" s="85">
        <f>P15</f>
        <v>0</v>
      </c>
      <c r="R15" s="84"/>
      <c r="S15" s="85">
        <f>R15</f>
        <v>0</v>
      </c>
      <c r="T15" s="114"/>
      <c r="U15" s="85">
        <f>T15</f>
        <v>0</v>
      </c>
      <c r="V15" s="114"/>
      <c r="W15" s="95">
        <f>V15</f>
        <v>0</v>
      </c>
      <c r="X15" s="84"/>
      <c r="Y15" s="95">
        <f>X15</f>
        <v>0</v>
      </c>
      <c r="Z15" s="84"/>
      <c r="AA15" s="99">
        <f>Z15</f>
        <v>0</v>
      </c>
      <c r="AB15" s="84"/>
      <c r="AC15" s="95">
        <f>AB15</f>
        <v>0</v>
      </c>
      <c r="AD15" s="84"/>
      <c r="AE15" s="85">
        <f>AD15</f>
        <v>0</v>
      </c>
      <c r="AF15" s="84"/>
      <c r="AG15" s="85">
        <f>AF15</f>
        <v>0</v>
      </c>
      <c r="AH15" s="84"/>
      <c r="AI15" s="85">
        <f>AH15</f>
        <v>0</v>
      </c>
      <c r="AJ15" s="84"/>
      <c r="AK15" s="85">
        <f>AJ15</f>
        <v>0</v>
      </c>
      <c r="AL15" s="385"/>
      <c r="AM15" s="85">
        <f aca="true" t="shared" si="14" ref="AM15:AM27">AL15</f>
        <v>0</v>
      </c>
      <c r="AN15" s="84"/>
      <c r="AO15" s="182">
        <f>AN15</f>
        <v>0</v>
      </c>
      <c r="AP15" s="386"/>
      <c r="AQ15" s="101">
        <f>AP15</f>
        <v>0</v>
      </c>
      <c r="AR15" s="102"/>
      <c r="AS15" s="103">
        <f>AR15</f>
        <v>0</v>
      </c>
      <c r="AT15" s="84"/>
      <c r="AU15" s="85"/>
      <c r="AV15" s="105">
        <f aca="true" t="shared" si="15" ref="AV15:AV25">SUM(B15+D15+F15+H15+J15+L15+N15+P15+R15+T15+V15+X15+Z15+AB15+AD15+AF15+AH15+AJ15+AL15+AN15+AP15+AR15+AT15)</f>
        <v>0</v>
      </c>
      <c r="AW15" s="115">
        <f aca="true" t="shared" si="16" ref="AW15:AW25">SUM(C15+E15+G15+I15+K15+M15+O15+Q15+S15+U15+W15+Y15+AA15+AC15+AE15+AG15+AI15+AK15+AM15+AO15+AQ15+AS15+AU15)</f>
        <v>0</v>
      </c>
      <c r="AX15" s="102"/>
      <c r="AY15" s="103">
        <f>AX15</f>
        <v>0</v>
      </c>
      <c r="AZ15" s="105">
        <f aca="true" t="shared" si="17" ref="AZ15:AZ25">AV15+AX15</f>
        <v>0</v>
      </c>
      <c r="BA15" s="106">
        <f aca="true" t="shared" si="18" ref="BA15:BA25">AW15+AY15</f>
        <v>0</v>
      </c>
    </row>
    <row r="16" spans="1:53" s="144" customFormat="1" ht="14.25">
      <c r="A16" s="163" t="s">
        <v>68</v>
      </c>
      <c r="B16" s="281"/>
      <c r="C16" s="93">
        <f>B16</f>
        <v>0</v>
      </c>
      <c r="D16" s="84"/>
      <c r="E16" s="85">
        <f>D16</f>
        <v>0</v>
      </c>
      <c r="F16" s="84"/>
      <c r="G16" s="85">
        <f>F16</f>
        <v>0</v>
      </c>
      <c r="H16" s="84"/>
      <c r="I16" s="85">
        <f>H16</f>
        <v>0</v>
      </c>
      <c r="J16" s="84"/>
      <c r="K16" s="85">
        <f>J16</f>
        <v>0</v>
      </c>
      <c r="L16" s="84"/>
      <c r="M16" s="85">
        <f>L16</f>
        <v>0</v>
      </c>
      <c r="N16" s="84"/>
      <c r="O16" s="85">
        <f>N16</f>
        <v>0</v>
      </c>
      <c r="P16" s="114"/>
      <c r="Q16" s="85">
        <f>P16</f>
        <v>0</v>
      </c>
      <c r="R16" s="84"/>
      <c r="S16" s="85">
        <f>R16</f>
        <v>0</v>
      </c>
      <c r="T16" s="114"/>
      <c r="U16" s="85">
        <f>T16</f>
        <v>0</v>
      </c>
      <c r="V16" s="114"/>
      <c r="W16" s="95">
        <f>V16</f>
        <v>0</v>
      </c>
      <c r="X16" s="84"/>
      <c r="Y16" s="95">
        <f>X16</f>
        <v>0</v>
      </c>
      <c r="Z16" s="84"/>
      <c r="AA16" s="99">
        <f>Z16</f>
        <v>0</v>
      </c>
      <c r="AB16" s="84"/>
      <c r="AC16" s="95">
        <f>AB16</f>
        <v>0</v>
      </c>
      <c r="AD16" s="84"/>
      <c r="AE16" s="85">
        <f>AD16</f>
        <v>0</v>
      </c>
      <c r="AF16" s="84"/>
      <c r="AG16" s="85">
        <f>AF16</f>
        <v>0</v>
      </c>
      <c r="AH16" s="84"/>
      <c r="AI16" s="85">
        <f>AH16</f>
        <v>0</v>
      </c>
      <c r="AJ16" s="84"/>
      <c r="AK16" s="85">
        <f>AJ16</f>
        <v>0</v>
      </c>
      <c r="AL16" s="385"/>
      <c r="AM16" s="85">
        <f t="shared" si="14"/>
        <v>0</v>
      </c>
      <c r="AN16" s="84"/>
      <c r="AO16" s="182">
        <f>AN16</f>
        <v>0</v>
      </c>
      <c r="AP16" s="386"/>
      <c r="AQ16" s="101">
        <f>AP16</f>
        <v>0</v>
      </c>
      <c r="AR16" s="102"/>
      <c r="AS16" s="103">
        <f>AR16</f>
        <v>0</v>
      </c>
      <c r="AT16" s="84"/>
      <c r="AU16" s="85"/>
      <c r="AV16" s="105">
        <f t="shared" si="15"/>
        <v>0</v>
      </c>
      <c r="AW16" s="115">
        <f t="shared" si="16"/>
        <v>0</v>
      </c>
      <c r="AX16" s="102"/>
      <c r="AY16" s="103">
        <f>AX16</f>
        <v>0</v>
      </c>
      <c r="AZ16" s="105">
        <f t="shared" si="17"/>
        <v>0</v>
      </c>
      <c r="BA16" s="106">
        <f t="shared" si="18"/>
        <v>0</v>
      </c>
    </row>
    <row r="17" spans="1:53" s="144" customFormat="1" ht="14.25">
      <c r="A17" s="162" t="s">
        <v>69</v>
      </c>
      <c r="B17" s="76">
        <v>509399</v>
      </c>
      <c r="C17" s="93">
        <v>1361754</v>
      </c>
      <c r="D17" s="105">
        <v>381</v>
      </c>
      <c r="E17" s="85">
        <v>1527</v>
      </c>
      <c r="F17" s="105"/>
      <c r="G17" s="85"/>
      <c r="H17" s="105">
        <v>698594</v>
      </c>
      <c r="I17" s="85">
        <v>1751909</v>
      </c>
      <c r="J17" s="105">
        <v>191549</v>
      </c>
      <c r="K17" s="85">
        <v>509207</v>
      </c>
      <c r="L17" s="105">
        <v>2649</v>
      </c>
      <c r="M17" s="105">
        <v>5352</v>
      </c>
      <c r="N17" s="105">
        <v>48723</v>
      </c>
      <c r="O17" s="85">
        <v>139901</v>
      </c>
      <c r="P17" s="115">
        <v>190501</v>
      </c>
      <c r="Q17" s="85">
        <v>437780</v>
      </c>
      <c r="R17" s="105">
        <v>357059</v>
      </c>
      <c r="S17" s="85">
        <v>937496</v>
      </c>
      <c r="T17" s="115">
        <f>24068+852</f>
        <v>24920</v>
      </c>
      <c r="U17" s="85">
        <f>55246+2890</f>
        <v>58136</v>
      </c>
      <c r="V17" s="115">
        <v>699424</v>
      </c>
      <c r="W17" s="95">
        <v>1911851</v>
      </c>
      <c r="X17" s="105">
        <v>1089126</v>
      </c>
      <c r="Y17" s="95">
        <v>2716167</v>
      </c>
      <c r="Z17" s="721">
        <v>11784</v>
      </c>
      <c r="AA17" s="99">
        <v>31032</v>
      </c>
      <c r="AB17" s="105">
        <v>17192</v>
      </c>
      <c r="AC17" s="95">
        <v>40101</v>
      </c>
      <c r="AD17" s="720">
        <v>461032</v>
      </c>
      <c r="AE17" s="85">
        <v>1173702</v>
      </c>
      <c r="AF17" s="105">
        <v>665493</v>
      </c>
      <c r="AG17" s="105">
        <v>1831575</v>
      </c>
      <c r="AH17" s="105">
        <v>67628</v>
      </c>
      <c r="AI17" s="85">
        <v>192692</v>
      </c>
      <c r="AJ17" s="105">
        <v>262946</v>
      </c>
      <c r="AK17" s="85">
        <v>742298</v>
      </c>
      <c r="AL17" s="385"/>
      <c r="AM17" s="85">
        <f t="shared" si="14"/>
        <v>0</v>
      </c>
      <c r="AN17" s="183">
        <v>1609237</v>
      </c>
      <c r="AO17" s="182">
        <v>3821044</v>
      </c>
      <c r="AP17" s="386">
        <v>46019</v>
      </c>
      <c r="AQ17" s="101">
        <v>106047</v>
      </c>
      <c r="AR17" s="102">
        <v>1178</v>
      </c>
      <c r="AS17" s="103">
        <v>2319</v>
      </c>
      <c r="AT17" s="105">
        <v>782680</v>
      </c>
      <c r="AU17" s="85">
        <v>2018385</v>
      </c>
      <c r="AV17" s="105">
        <f t="shared" si="15"/>
        <v>7737514</v>
      </c>
      <c r="AW17" s="115">
        <f t="shared" si="16"/>
        <v>19790275</v>
      </c>
      <c r="AX17" s="105">
        <v>54765406</v>
      </c>
      <c r="AY17" s="103">
        <v>143451963</v>
      </c>
      <c r="AZ17" s="105">
        <f t="shared" si="17"/>
        <v>62502920</v>
      </c>
      <c r="BA17" s="106">
        <f t="shared" si="18"/>
        <v>163242238</v>
      </c>
    </row>
    <row r="18" spans="1:53" s="144" customFormat="1" ht="14.25">
      <c r="A18" s="162" t="s">
        <v>6</v>
      </c>
      <c r="B18" s="281">
        <v>39205</v>
      </c>
      <c r="C18" s="93">
        <v>123227</v>
      </c>
      <c r="D18" s="84">
        <v>5021</v>
      </c>
      <c r="E18" s="85">
        <v>16380</v>
      </c>
      <c r="F18" s="84"/>
      <c r="G18" s="85"/>
      <c r="H18" s="84">
        <v>41962</v>
      </c>
      <c r="I18" s="85">
        <v>114511</v>
      </c>
      <c r="J18" s="84">
        <v>89373</v>
      </c>
      <c r="K18" s="85">
        <v>366771</v>
      </c>
      <c r="L18" s="84">
        <v>3791</v>
      </c>
      <c r="M18" s="84">
        <v>10600</v>
      </c>
      <c r="N18" s="84">
        <v>667</v>
      </c>
      <c r="O18" s="85">
        <v>4934</v>
      </c>
      <c r="P18" s="114">
        <v>30790</v>
      </c>
      <c r="Q18" s="85">
        <v>75569</v>
      </c>
      <c r="R18" s="84">
        <v>122013</v>
      </c>
      <c r="S18" s="85">
        <v>329095</v>
      </c>
      <c r="T18" s="114">
        <v>7729</v>
      </c>
      <c r="U18" s="85">
        <v>25229</v>
      </c>
      <c r="V18" s="114">
        <v>334841</v>
      </c>
      <c r="W18" s="95">
        <v>868343</v>
      </c>
      <c r="X18" s="84">
        <v>220716</v>
      </c>
      <c r="Y18" s="95">
        <v>622376</v>
      </c>
      <c r="Z18" s="721">
        <v>1111</v>
      </c>
      <c r="AA18" s="99">
        <v>2393</v>
      </c>
      <c r="AB18" s="84">
        <v>4760</v>
      </c>
      <c r="AC18" s="95">
        <v>15552</v>
      </c>
      <c r="AD18" s="84">
        <v>51450</v>
      </c>
      <c r="AE18" s="85">
        <v>156830</v>
      </c>
      <c r="AF18" s="84">
        <v>11725</v>
      </c>
      <c r="AG18" s="84">
        <v>46442</v>
      </c>
      <c r="AH18" s="84">
        <v>99433</v>
      </c>
      <c r="AI18" s="85">
        <v>212214</v>
      </c>
      <c r="AJ18" s="84">
        <v>40676</v>
      </c>
      <c r="AK18" s="85">
        <v>113456</v>
      </c>
      <c r="AL18" s="385"/>
      <c r="AM18" s="85">
        <f t="shared" si="14"/>
        <v>0</v>
      </c>
      <c r="AN18" s="183">
        <v>9525</v>
      </c>
      <c r="AO18" s="182">
        <v>33415</v>
      </c>
      <c r="AP18" s="386">
        <v>47506</v>
      </c>
      <c r="AQ18" s="101">
        <v>119108</v>
      </c>
      <c r="AR18" s="102">
        <v>201</v>
      </c>
      <c r="AS18" s="103">
        <v>1380</v>
      </c>
      <c r="AT18" s="84">
        <v>145690</v>
      </c>
      <c r="AU18" s="85">
        <v>418757</v>
      </c>
      <c r="AV18" s="105">
        <f t="shared" si="15"/>
        <v>1308185</v>
      </c>
      <c r="AW18" s="115">
        <f t="shared" si="16"/>
        <v>3676582</v>
      </c>
      <c r="AX18" s="84">
        <v>6998</v>
      </c>
      <c r="AY18" s="103">
        <v>20109</v>
      </c>
      <c r="AZ18" s="105">
        <f t="shared" si="17"/>
        <v>1315183</v>
      </c>
      <c r="BA18" s="106">
        <f t="shared" si="18"/>
        <v>3696691</v>
      </c>
    </row>
    <row r="19" spans="1:53" s="144" customFormat="1" ht="14.25">
      <c r="A19" s="162" t="s">
        <v>70</v>
      </c>
      <c r="B19" s="281">
        <v>759717</v>
      </c>
      <c r="C19" s="93">
        <v>1787705</v>
      </c>
      <c r="D19" s="84">
        <v>2951</v>
      </c>
      <c r="E19" s="85">
        <v>11163</v>
      </c>
      <c r="F19" s="84"/>
      <c r="G19" s="85"/>
      <c r="H19" s="84">
        <v>600243</v>
      </c>
      <c r="I19" s="85">
        <v>1378876</v>
      </c>
      <c r="J19" s="84">
        <v>81389</v>
      </c>
      <c r="K19" s="85">
        <v>239302</v>
      </c>
      <c r="L19" s="84">
        <v>2510</v>
      </c>
      <c r="M19" s="84">
        <v>5962</v>
      </c>
      <c r="N19" s="84">
        <v>25039</v>
      </c>
      <c r="O19" s="85">
        <v>57805</v>
      </c>
      <c r="P19" s="114">
        <v>64887</v>
      </c>
      <c r="Q19" s="85">
        <v>149671</v>
      </c>
      <c r="R19" s="84">
        <v>14129</v>
      </c>
      <c r="S19" s="85">
        <v>31757</v>
      </c>
      <c r="T19" s="114">
        <v>39756</v>
      </c>
      <c r="U19" s="85">
        <v>121277</v>
      </c>
      <c r="V19" s="114">
        <v>3439470</v>
      </c>
      <c r="W19" s="95">
        <v>8333383</v>
      </c>
      <c r="X19" s="84">
        <v>2264668</v>
      </c>
      <c r="Y19" s="95">
        <v>5469369</v>
      </c>
      <c r="Z19" s="721">
        <v>158943</v>
      </c>
      <c r="AA19" s="99">
        <v>366885</v>
      </c>
      <c r="AB19" s="84">
        <v>482375</v>
      </c>
      <c r="AC19" s="95">
        <v>1024370</v>
      </c>
      <c r="AD19" s="84">
        <v>642631</v>
      </c>
      <c r="AE19" s="85">
        <v>1410643</v>
      </c>
      <c r="AF19" s="84">
        <v>48195</v>
      </c>
      <c r="AG19" s="84">
        <v>117977</v>
      </c>
      <c r="AH19" s="84">
        <v>790746</v>
      </c>
      <c r="AI19" s="85">
        <v>1673791</v>
      </c>
      <c r="AJ19" s="84">
        <v>58555</v>
      </c>
      <c r="AK19" s="85">
        <v>125646</v>
      </c>
      <c r="AL19" s="385"/>
      <c r="AM19" s="85">
        <f t="shared" si="14"/>
        <v>0</v>
      </c>
      <c r="AN19" s="183">
        <v>156086</v>
      </c>
      <c r="AO19" s="182">
        <v>320733</v>
      </c>
      <c r="AP19" s="386">
        <v>275852</v>
      </c>
      <c r="AQ19" s="101">
        <v>573694</v>
      </c>
      <c r="AR19" s="102"/>
      <c r="AS19" s="103"/>
      <c r="AT19" s="84">
        <v>26556</v>
      </c>
      <c r="AU19" s="85">
        <v>72100</v>
      </c>
      <c r="AV19" s="105">
        <f t="shared" si="15"/>
        <v>9934698</v>
      </c>
      <c r="AW19" s="115">
        <f t="shared" si="16"/>
        <v>23272109</v>
      </c>
      <c r="AX19" s="84">
        <v>41184</v>
      </c>
      <c r="AY19" s="103">
        <v>106298</v>
      </c>
      <c r="AZ19" s="105">
        <f t="shared" si="17"/>
        <v>9975882</v>
      </c>
      <c r="BA19" s="106">
        <f t="shared" si="18"/>
        <v>23378407</v>
      </c>
    </row>
    <row r="20" spans="1:53" s="144" customFormat="1" ht="14.25">
      <c r="A20" s="162" t="s">
        <v>71</v>
      </c>
      <c r="B20" s="281"/>
      <c r="C20" s="93"/>
      <c r="D20" s="84"/>
      <c r="E20" s="85"/>
      <c r="F20" s="84"/>
      <c r="G20" s="85"/>
      <c r="H20" s="84"/>
      <c r="I20" s="85"/>
      <c r="J20" s="84"/>
      <c r="K20" s="85"/>
      <c r="L20" s="84">
        <v>772726</v>
      </c>
      <c r="M20" s="84">
        <v>1726527</v>
      </c>
      <c r="N20" s="84"/>
      <c r="O20" s="85"/>
      <c r="P20" s="114"/>
      <c r="Q20" s="85"/>
      <c r="R20" s="84">
        <v>1153</v>
      </c>
      <c r="S20" s="85">
        <v>3267</v>
      </c>
      <c r="T20" s="114"/>
      <c r="U20" s="85"/>
      <c r="V20" s="114"/>
      <c r="W20" s="95"/>
      <c r="X20" s="84"/>
      <c r="Y20" s="95"/>
      <c r="Z20" s="721"/>
      <c r="AA20" s="99"/>
      <c r="AB20" s="84"/>
      <c r="AC20" s="95"/>
      <c r="AD20" s="84"/>
      <c r="AE20" s="85"/>
      <c r="AF20" s="84">
        <v>2311026</v>
      </c>
      <c r="AG20" s="84">
        <v>5540579</v>
      </c>
      <c r="AH20" s="84"/>
      <c r="AI20" s="85"/>
      <c r="AJ20" s="84"/>
      <c r="AK20" s="85"/>
      <c r="AL20" s="385"/>
      <c r="AM20" s="85">
        <f t="shared" si="14"/>
        <v>0</v>
      </c>
      <c r="AN20" s="183">
        <v>3395913</v>
      </c>
      <c r="AO20" s="182">
        <v>7391845</v>
      </c>
      <c r="AP20" s="386"/>
      <c r="AQ20" s="101"/>
      <c r="AR20" s="102">
        <v>493701</v>
      </c>
      <c r="AS20" s="103">
        <v>1241913</v>
      </c>
      <c r="AT20" s="84">
        <v>1400749</v>
      </c>
      <c r="AU20" s="85">
        <v>3480836</v>
      </c>
      <c r="AV20" s="105">
        <f t="shared" si="15"/>
        <v>8375268</v>
      </c>
      <c r="AW20" s="115">
        <f t="shared" si="16"/>
        <v>19384967</v>
      </c>
      <c r="AX20" s="84">
        <v>460754</v>
      </c>
      <c r="AY20" s="103">
        <v>1121451</v>
      </c>
      <c r="AZ20" s="105">
        <f t="shared" si="17"/>
        <v>8836022</v>
      </c>
      <c r="BA20" s="106">
        <f t="shared" si="18"/>
        <v>20506418</v>
      </c>
    </row>
    <row r="21" spans="1:53" s="144" customFormat="1" ht="14.25">
      <c r="A21" s="162" t="s">
        <v>72</v>
      </c>
      <c r="B21" s="281"/>
      <c r="C21" s="93"/>
      <c r="D21" s="84"/>
      <c r="E21" s="85"/>
      <c r="F21" s="84"/>
      <c r="G21" s="85"/>
      <c r="H21" s="84">
        <v>17886</v>
      </c>
      <c r="I21" s="85">
        <v>31836</v>
      </c>
      <c r="J21" s="84"/>
      <c r="K21" s="85"/>
      <c r="L21" s="84"/>
      <c r="M21" s="85"/>
      <c r="N21" s="84">
        <v>868</v>
      </c>
      <c r="O21" s="85">
        <v>1741</v>
      </c>
      <c r="P21" s="114"/>
      <c r="Q21" s="85"/>
      <c r="R21" s="84">
        <v>25037</v>
      </c>
      <c r="S21" s="85">
        <v>55664</v>
      </c>
      <c r="T21" s="114"/>
      <c r="U21" s="85"/>
      <c r="V21" s="114">
        <v>7231</v>
      </c>
      <c r="W21" s="95">
        <v>10016</v>
      </c>
      <c r="X21" s="84">
        <v>1839</v>
      </c>
      <c r="Y21" s="95">
        <v>2033</v>
      </c>
      <c r="Z21" s="721"/>
      <c r="AA21" s="99"/>
      <c r="AB21" s="84"/>
      <c r="AC21" s="95"/>
      <c r="AD21" s="84"/>
      <c r="AE21" s="85"/>
      <c r="AF21" s="84"/>
      <c r="AG21" s="85"/>
      <c r="AH21" s="84"/>
      <c r="AI21" s="85"/>
      <c r="AJ21" s="84"/>
      <c r="AK21" s="85"/>
      <c r="AL21" s="385"/>
      <c r="AM21" s="85">
        <f t="shared" si="14"/>
        <v>0</v>
      </c>
      <c r="AN21" s="84"/>
      <c r="AO21" s="182"/>
      <c r="AP21" s="386"/>
      <c r="AQ21" s="101"/>
      <c r="AR21" s="102"/>
      <c r="AS21" s="103"/>
      <c r="AT21" s="84"/>
      <c r="AU21" s="85"/>
      <c r="AV21" s="105">
        <f t="shared" si="15"/>
        <v>52861</v>
      </c>
      <c r="AW21" s="115">
        <f t="shared" si="16"/>
        <v>101290</v>
      </c>
      <c r="AX21" s="84"/>
      <c r="AY21" s="103"/>
      <c r="AZ21" s="105">
        <f t="shared" si="17"/>
        <v>52861</v>
      </c>
      <c r="BA21" s="106">
        <f t="shared" si="18"/>
        <v>101290</v>
      </c>
    </row>
    <row r="22" spans="1:53" s="144" customFormat="1" ht="14.25">
      <c r="A22" s="162" t="s">
        <v>15</v>
      </c>
      <c r="B22" s="76"/>
      <c r="C22" s="93"/>
      <c r="D22" s="105"/>
      <c r="E22" s="85"/>
      <c r="F22" s="105"/>
      <c r="G22" s="85"/>
      <c r="H22" s="105"/>
      <c r="I22" s="85"/>
      <c r="J22" s="105"/>
      <c r="K22" s="85"/>
      <c r="L22" s="105"/>
      <c r="M22" s="85"/>
      <c r="N22" s="105"/>
      <c r="O22" s="85"/>
      <c r="P22" s="115"/>
      <c r="Q22" s="85"/>
      <c r="R22" s="105"/>
      <c r="S22" s="85"/>
      <c r="T22" s="115"/>
      <c r="U22" s="85"/>
      <c r="V22" s="115"/>
      <c r="W22" s="95"/>
      <c r="X22" s="105"/>
      <c r="Y22" s="95"/>
      <c r="Z22" s="721"/>
      <c r="AA22" s="99"/>
      <c r="AB22" s="105">
        <v>2167</v>
      </c>
      <c r="AC22" s="95">
        <v>6411</v>
      </c>
      <c r="AD22" s="720"/>
      <c r="AE22" s="85"/>
      <c r="AF22" s="105"/>
      <c r="AG22" s="85"/>
      <c r="AH22" s="105"/>
      <c r="AI22" s="85"/>
      <c r="AJ22" s="105"/>
      <c r="AK22" s="109"/>
      <c r="AL22" s="385"/>
      <c r="AM22" s="85">
        <f t="shared" si="14"/>
        <v>0</v>
      </c>
      <c r="AN22" s="183"/>
      <c r="AO22" s="182"/>
      <c r="AP22" s="386"/>
      <c r="AQ22" s="101"/>
      <c r="AR22" s="102"/>
      <c r="AS22" s="103"/>
      <c r="AT22" s="105"/>
      <c r="AU22" s="85"/>
      <c r="AV22" s="105">
        <f t="shared" si="15"/>
        <v>2167</v>
      </c>
      <c r="AW22" s="115">
        <f t="shared" si="16"/>
        <v>6411</v>
      </c>
      <c r="AX22" s="105"/>
      <c r="AY22" s="103"/>
      <c r="AZ22" s="105">
        <f t="shared" si="17"/>
        <v>2167</v>
      </c>
      <c r="BA22" s="106">
        <f t="shared" si="18"/>
        <v>6411</v>
      </c>
    </row>
    <row r="23" spans="1:53" s="144" customFormat="1" ht="14.25">
      <c r="A23" s="162" t="s">
        <v>17</v>
      </c>
      <c r="B23" s="281"/>
      <c r="C23" s="93"/>
      <c r="D23" s="84"/>
      <c r="E23" s="85"/>
      <c r="F23" s="84"/>
      <c r="G23" s="85"/>
      <c r="H23" s="84"/>
      <c r="I23" s="85"/>
      <c r="J23" s="84"/>
      <c r="K23" s="85"/>
      <c r="L23" s="84"/>
      <c r="M23" s="85"/>
      <c r="N23" s="84"/>
      <c r="O23" s="85"/>
      <c r="P23" s="114"/>
      <c r="Q23" s="85"/>
      <c r="R23" s="84">
        <v>13</v>
      </c>
      <c r="S23" s="85">
        <v>20</v>
      </c>
      <c r="T23" s="114">
        <v>2907</v>
      </c>
      <c r="U23" s="85">
        <v>6927</v>
      </c>
      <c r="V23" s="114">
        <v>1082</v>
      </c>
      <c r="W23" s="95">
        <v>5181</v>
      </c>
      <c r="X23" s="84">
        <v>4269</v>
      </c>
      <c r="Y23" s="95">
        <v>16807</v>
      </c>
      <c r="Z23" s="721"/>
      <c r="AA23" s="99"/>
      <c r="AB23" s="84"/>
      <c r="AC23" s="95"/>
      <c r="AD23" s="84"/>
      <c r="AE23" s="85"/>
      <c r="AF23" s="84"/>
      <c r="AG23" s="85"/>
      <c r="AH23" s="84"/>
      <c r="AI23" s="85"/>
      <c r="AJ23" s="84"/>
      <c r="AK23" s="85"/>
      <c r="AL23" s="385"/>
      <c r="AM23" s="85">
        <f t="shared" si="14"/>
        <v>0</v>
      </c>
      <c r="AN23" s="183">
        <v>224</v>
      </c>
      <c r="AO23" s="182">
        <v>493</v>
      </c>
      <c r="AP23" s="386"/>
      <c r="AQ23" s="101"/>
      <c r="AR23" s="102"/>
      <c r="AS23" s="103"/>
      <c r="AT23" s="84"/>
      <c r="AU23" s="85"/>
      <c r="AV23" s="105">
        <f t="shared" si="15"/>
        <v>8495</v>
      </c>
      <c r="AW23" s="115">
        <f t="shared" si="16"/>
        <v>29428</v>
      </c>
      <c r="AX23" s="102">
        <v>20200</v>
      </c>
      <c r="AY23" s="103">
        <v>47116</v>
      </c>
      <c r="AZ23" s="105">
        <f t="shared" si="17"/>
        <v>28695</v>
      </c>
      <c r="BA23" s="106">
        <f t="shared" si="18"/>
        <v>76544</v>
      </c>
    </row>
    <row r="24" spans="1:53" s="144" customFormat="1" ht="14.25">
      <c r="A24" s="162" t="s">
        <v>73</v>
      </c>
      <c r="B24" s="281"/>
      <c r="C24" s="93"/>
      <c r="D24" s="84">
        <v>2729</v>
      </c>
      <c r="E24" s="85">
        <v>7008</v>
      </c>
      <c r="F24" s="84"/>
      <c r="G24" s="85"/>
      <c r="H24" s="84"/>
      <c r="I24" s="85"/>
      <c r="J24" s="84"/>
      <c r="K24" s="85"/>
      <c r="L24" s="84">
        <v>5042</v>
      </c>
      <c r="M24" s="85">
        <v>13077</v>
      </c>
      <c r="N24" s="84"/>
      <c r="O24" s="85"/>
      <c r="P24" s="114">
        <v>88</v>
      </c>
      <c r="Q24" s="85">
        <v>327</v>
      </c>
      <c r="R24" s="84"/>
      <c r="S24" s="85"/>
      <c r="T24" s="114">
        <v>3</v>
      </c>
      <c r="U24" s="85">
        <v>67</v>
      </c>
      <c r="V24" s="114"/>
      <c r="W24" s="95"/>
      <c r="X24" s="84">
        <v>36231</v>
      </c>
      <c r="Y24" s="95">
        <v>145464</v>
      </c>
      <c r="Z24" s="721"/>
      <c r="AA24" s="99"/>
      <c r="AB24" s="84">
        <v>12</v>
      </c>
      <c r="AC24" s="95">
        <v>17</v>
      </c>
      <c r="AD24" s="84"/>
      <c r="AE24" s="85"/>
      <c r="AF24" s="84"/>
      <c r="AG24" s="85"/>
      <c r="AH24" s="84"/>
      <c r="AI24" s="85"/>
      <c r="AJ24" s="84"/>
      <c r="AK24" s="85"/>
      <c r="AL24" s="385"/>
      <c r="AM24" s="85">
        <f t="shared" si="14"/>
        <v>0</v>
      </c>
      <c r="AN24" s="183">
        <v>510</v>
      </c>
      <c r="AO24" s="182">
        <v>2329</v>
      </c>
      <c r="AP24" s="386">
        <v>63</v>
      </c>
      <c r="AQ24" s="101">
        <v>1264</v>
      </c>
      <c r="AR24" s="102"/>
      <c r="AS24" s="103"/>
      <c r="AT24" s="84">
        <v>69224</v>
      </c>
      <c r="AU24" s="85">
        <v>235317</v>
      </c>
      <c r="AV24" s="105">
        <f t="shared" si="15"/>
        <v>113902</v>
      </c>
      <c r="AW24" s="115">
        <f t="shared" si="16"/>
        <v>404870</v>
      </c>
      <c r="AX24" s="102"/>
      <c r="AY24" s="103"/>
      <c r="AZ24" s="105">
        <f t="shared" si="17"/>
        <v>113902</v>
      </c>
      <c r="BA24" s="106">
        <f t="shared" si="18"/>
        <v>404870</v>
      </c>
    </row>
    <row r="25" spans="1:53" s="144" customFormat="1" ht="14.25">
      <c r="A25" s="162" t="s">
        <v>74</v>
      </c>
      <c r="B25" s="392"/>
      <c r="C25" s="93"/>
      <c r="D25" s="128"/>
      <c r="E25" s="85"/>
      <c r="F25" s="128"/>
      <c r="G25" s="85"/>
      <c r="H25" s="128"/>
      <c r="I25" s="85"/>
      <c r="J25" s="128"/>
      <c r="K25" s="85"/>
      <c r="L25" s="128"/>
      <c r="M25" s="85"/>
      <c r="N25" s="128"/>
      <c r="O25" s="85"/>
      <c r="P25" s="125"/>
      <c r="Q25" s="85"/>
      <c r="R25" s="128"/>
      <c r="S25" s="85"/>
      <c r="T25" s="125"/>
      <c r="U25" s="85"/>
      <c r="V25" s="125"/>
      <c r="W25" s="95"/>
      <c r="X25" s="128"/>
      <c r="Y25" s="95"/>
      <c r="Z25" s="722"/>
      <c r="AA25" s="99"/>
      <c r="AB25" s="128"/>
      <c r="AC25" s="95"/>
      <c r="AD25" s="128">
        <v>75</v>
      </c>
      <c r="AE25" s="85">
        <v>308</v>
      </c>
      <c r="AF25" s="128"/>
      <c r="AG25" s="85"/>
      <c r="AH25" s="128"/>
      <c r="AI25" s="85"/>
      <c r="AJ25" s="128"/>
      <c r="AK25" s="126"/>
      <c r="AL25" s="393"/>
      <c r="AM25" s="85">
        <f t="shared" si="14"/>
        <v>0</v>
      </c>
      <c r="AN25" s="394"/>
      <c r="AO25" s="182"/>
      <c r="AP25" s="397"/>
      <c r="AQ25" s="101"/>
      <c r="AR25" s="131"/>
      <c r="AS25" s="103"/>
      <c r="AT25" s="128"/>
      <c r="AU25" s="85"/>
      <c r="AV25" s="105">
        <f t="shared" si="15"/>
        <v>75</v>
      </c>
      <c r="AW25" s="115">
        <f t="shared" si="16"/>
        <v>308</v>
      </c>
      <c r="AX25" s="131"/>
      <c r="AY25" s="103"/>
      <c r="AZ25" s="105">
        <f t="shared" si="17"/>
        <v>75</v>
      </c>
      <c r="BA25" s="106">
        <f t="shared" si="18"/>
        <v>308</v>
      </c>
    </row>
    <row r="26" spans="1:53" s="144" customFormat="1" ht="14.25">
      <c r="A26" s="396" t="s">
        <v>16</v>
      </c>
      <c r="B26" s="392"/>
      <c r="C26" s="93"/>
      <c r="D26" s="128"/>
      <c r="E26" s="85"/>
      <c r="F26" s="128"/>
      <c r="G26" s="85"/>
      <c r="H26" s="128"/>
      <c r="I26" s="85"/>
      <c r="J26" s="128"/>
      <c r="K26" s="85"/>
      <c r="L26" s="128"/>
      <c r="M26" s="85"/>
      <c r="N26" s="128"/>
      <c r="O26" s="85"/>
      <c r="P26" s="125"/>
      <c r="Q26" s="85"/>
      <c r="R26" s="128">
        <v>7557</v>
      </c>
      <c r="S26" s="85">
        <v>35113</v>
      </c>
      <c r="T26" s="125"/>
      <c r="U26" s="85"/>
      <c r="V26" s="125"/>
      <c r="W26" s="95"/>
      <c r="X26" s="128"/>
      <c r="Y26" s="95"/>
      <c r="Z26" s="722"/>
      <c r="AA26" s="99"/>
      <c r="AB26" s="128"/>
      <c r="AC26" s="95"/>
      <c r="AD26" s="128"/>
      <c r="AE26" s="85"/>
      <c r="AF26" s="128"/>
      <c r="AG26" s="85"/>
      <c r="AH26" s="128"/>
      <c r="AI26" s="85"/>
      <c r="AJ26" s="128"/>
      <c r="AK26" s="126"/>
      <c r="AL26" s="393"/>
      <c r="AM26" s="85">
        <f t="shared" si="14"/>
        <v>0</v>
      </c>
      <c r="AN26" s="394"/>
      <c r="AO26" s="395"/>
      <c r="AP26" s="397"/>
      <c r="AQ26" s="130"/>
      <c r="AR26" s="131"/>
      <c r="AS26" s="132"/>
      <c r="AT26" s="128"/>
      <c r="AU26" s="126"/>
      <c r="AV26" s="133"/>
      <c r="AW26" s="134"/>
      <c r="AX26" s="131"/>
      <c r="AY26" s="103"/>
      <c r="AZ26" s="133"/>
      <c r="BA26" s="399"/>
    </row>
    <row r="27" spans="1:53" s="144" customFormat="1" ht="15" thickBot="1">
      <c r="A27" s="396" t="s">
        <v>75</v>
      </c>
      <c r="B27" s="392"/>
      <c r="C27" s="93"/>
      <c r="D27" s="128"/>
      <c r="E27" s="85"/>
      <c r="F27" s="128"/>
      <c r="G27" s="85"/>
      <c r="H27" s="128"/>
      <c r="I27" s="85"/>
      <c r="J27" s="128"/>
      <c r="K27" s="85"/>
      <c r="L27" s="128"/>
      <c r="M27" s="85"/>
      <c r="N27" s="128">
        <v>837</v>
      </c>
      <c r="O27" s="85">
        <v>1446</v>
      </c>
      <c r="P27" s="125"/>
      <c r="Q27" s="85"/>
      <c r="R27" s="128"/>
      <c r="S27" s="85"/>
      <c r="T27" s="125"/>
      <c r="U27" s="85"/>
      <c r="V27" s="125"/>
      <c r="W27" s="95"/>
      <c r="X27" s="128"/>
      <c r="Y27" s="95"/>
      <c r="Z27" s="722"/>
      <c r="AA27" s="99"/>
      <c r="AB27" s="128"/>
      <c r="AC27" s="95"/>
      <c r="AD27" s="128"/>
      <c r="AE27" s="85"/>
      <c r="AF27" s="128"/>
      <c r="AG27" s="85"/>
      <c r="AH27" s="128"/>
      <c r="AI27" s="85"/>
      <c r="AJ27" s="128">
        <v>81</v>
      </c>
      <c r="AK27" s="126">
        <v>270</v>
      </c>
      <c r="AL27" s="393"/>
      <c r="AM27" s="85">
        <f t="shared" si="14"/>
        <v>0</v>
      </c>
      <c r="AN27" s="394"/>
      <c r="AO27" s="395"/>
      <c r="AP27" s="397"/>
      <c r="AQ27" s="130"/>
      <c r="AR27" s="131"/>
      <c r="AS27" s="132"/>
      <c r="AT27" s="128"/>
      <c r="AU27" s="126"/>
      <c r="AV27" s="133">
        <f>SUM(B27+D27+F27+H27+J27+L27+N27+P27+R27+T27+V27+X27+Z27+AB27+AD27+AF27+AH27+AJ27+AL27+AN27+AP27+AR27+AT27)</f>
        <v>918</v>
      </c>
      <c r="AW27" s="134">
        <v>4</v>
      </c>
      <c r="AX27" s="131"/>
      <c r="AY27" s="103"/>
      <c r="AZ27" s="133">
        <f>AV27+AX27</f>
        <v>918</v>
      </c>
      <c r="BA27" s="399">
        <f>AW27+AY27</f>
        <v>4</v>
      </c>
    </row>
    <row r="28" spans="1:53" s="398" customFormat="1" ht="15" thickBot="1">
      <c r="A28" s="409" t="s">
        <v>54</v>
      </c>
      <c r="B28" s="400">
        <f>SUM(B17:B25)</f>
        <v>1308321</v>
      </c>
      <c r="C28" s="400">
        <f aca="true" t="shared" si="19" ref="C28:I28">SUM(C17:C25)</f>
        <v>3272686</v>
      </c>
      <c r="D28" s="400">
        <f t="shared" si="19"/>
        <v>11082</v>
      </c>
      <c r="E28" s="400">
        <f t="shared" si="19"/>
        <v>36078</v>
      </c>
      <c r="F28" s="400">
        <f t="shared" si="19"/>
        <v>0</v>
      </c>
      <c r="G28" s="400">
        <f t="shared" si="19"/>
        <v>0</v>
      </c>
      <c r="H28" s="400">
        <f t="shared" si="19"/>
        <v>1358685</v>
      </c>
      <c r="I28" s="400">
        <f t="shared" si="19"/>
        <v>3277132</v>
      </c>
      <c r="J28" s="400">
        <f aca="true" t="shared" si="20" ref="J28:AN28">SUM(J17:J27)</f>
        <v>362311</v>
      </c>
      <c r="K28" s="400">
        <f t="shared" si="20"/>
        <v>1115280</v>
      </c>
      <c r="L28" s="400">
        <f t="shared" si="20"/>
        <v>786718</v>
      </c>
      <c r="M28" s="400">
        <f t="shared" si="20"/>
        <v>1761518</v>
      </c>
      <c r="N28" s="400">
        <f t="shared" si="20"/>
        <v>76134</v>
      </c>
      <c r="O28" s="400">
        <f t="shared" si="20"/>
        <v>205827</v>
      </c>
      <c r="P28" s="402">
        <f t="shared" si="20"/>
        <v>286266</v>
      </c>
      <c r="Q28" s="400">
        <f t="shared" si="20"/>
        <v>663347</v>
      </c>
      <c r="R28" s="400">
        <f t="shared" si="20"/>
        <v>526961</v>
      </c>
      <c r="S28" s="400">
        <f t="shared" si="20"/>
        <v>1392412</v>
      </c>
      <c r="T28" s="402">
        <f t="shared" si="20"/>
        <v>75315</v>
      </c>
      <c r="U28" s="400">
        <f t="shared" si="20"/>
        <v>211636</v>
      </c>
      <c r="V28" s="400">
        <f t="shared" si="20"/>
        <v>4482048</v>
      </c>
      <c r="W28" s="401">
        <f t="shared" si="20"/>
        <v>11128774</v>
      </c>
      <c r="X28" s="400">
        <f t="shared" si="20"/>
        <v>3616849</v>
      </c>
      <c r="Y28" s="401">
        <f t="shared" si="20"/>
        <v>8972216</v>
      </c>
      <c r="Z28" s="400">
        <f t="shared" si="20"/>
        <v>171838</v>
      </c>
      <c r="AA28" s="400">
        <f t="shared" si="20"/>
        <v>400310</v>
      </c>
      <c r="AB28" s="400">
        <f t="shared" si="20"/>
        <v>506506</v>
      </c>
      <c r="AC28" s="401">
        <f t="shared" si="20"/>
        <v>1086451</v>
      </c>
      <c r="AD28" s="400">
        <f t="shared" si="20"/>
        <v>1155188</v>
      </c>
      <c r="AE28" s="400">
        <f t="shared" si="20"/>
        <v>2741483</v>
      </c>
      <c r="AF28" s="400">
        <f t="shared" si="20"/>
        <v>3036439</v>
      </c>
      <c r="AG28" s="400">
        <f t="shared" si="20"/>
        <v>7536573</v>
      </c>
      <c r="AH28" s="400">
        <f t="shared" si="20"/>
        <v>957807</v>
      </c>
      <c r="AI28" s="400">
        <f t="shared" si="20"/>
        <v>2078697</v>
      </c>
      <c r="AJ28" s="400">
        <f t="shared" si="20"/>
        <v>362258</v>
      </c>
      <c r="AK28" s="400">
        <f t="shared" si="20"/>
        <v>981670</v>
      </c>
      <c r="AL28" s="400">
        <f>AL9</f>
        <v>0</v>
      </c>
      <c r="AM28" s="400">
        <f>AM9</f>
        <v>0</v>
      </c>
      <c r="AN28" s="400">
        <f t="shared" si="20"/>
        <v>5171495</v>
      </c>
      <c r="AO28" s="403">
        <f aca="true" t="shared" si="21" ref="AO28:AU28">SUM(AO17:AO27)</f>
        <v>11569859</v>
      </c>
      <c r="AP28" s="404">
        <f t="shared" si="21"/>
        <v>369440</v>
      </c>
      <c r="AQ28" s="403">
        <f t="shared" si="21"/>
        <v>800113</v>
      </c>
      <c r="AR28" s="404">
        <f t="shared" si="21"/>
        <v>495080</v>
      </c>
      <c r="AS28" s="403">
        <f t="shared" si="21"/>
        <v>1245612</v>
      </c>
      <c r="AT28" s="404">
        <f t="shared" si="21"/>
        <v>2424899</v>
      </c>
      <c r="AU28" s="403">
        <f t="shared" si="21"/>
        <v>6225395</v>
      </c>
      <c r="AV28" s="404">
        <f>SUM(B28+D28+F28+H28+J28+L28+N28+P28+R28+T28+V28+X28+Z28+AB28+AD28+AF28+AH28+AJ28+AL28+AN28+AP28+AR28+AT28)</f>
        <v>27541640</v>
      </c>
      <c r="AW28" s="405">
        <f>SUM(C28+E28+G28+I28+K28+M28+O28+Q28+S28+U28+W28+Y28+AA28+AC28+AE28+AG28+AI28+AK28+AM28+AO28+AQ28+AS28+AU28)</f>
        <v>66703069</v>
      </c>
      <c r="AX28" s="406">
        <f>SUM(AX17:AX27)</f>
        <v>55294542</v>
      </c>
      <c r="AY28" s="407">
        <f>SUM(AY17:AY27)</f>
        <v>144746937</v>
      </c>
      <c r="AZ28" s="404">
        <f>AV28+AX28</f>
        <v>82836182</v>
      </c>
      <c r="BA28" s="408">
        <f>AW28+AY28</f>
        <v>211450006</v>
      </c>
    </row>
  </sheetData>
  <sheetProtection/>
  <mergeCells count="29">
    <mergeCell ref="J3:K3"/>
    <mergeCell ref="L3:M3"/>
    <mergeCell ref="N3:O3"/>
    <mergeCell ref="AB3:AC3"/>
    <mergeCell ref="AD3:AE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  <mergeCell ref="AL3:AM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A40"/>
  <sheetViews>
    <sheetView zoomScalePageLayoutView="0" workbookViewId="0" topLeftCell="A28">
      <pane xSplit="1" topLeftCell="B1" activePane="topRight" state="frozen"/>
      <selection pane="topLeft" activeCell="A1" sqref="A1"/>
      <selection pane="topRight" activeCell="E43" sqref="E43"/>
    </sheetView>
  </sheetViews>
  <sheetFormatPr defaultColWidth="9.140625" defaultRowHeight="15"/>
  <cols>
    <col min="1" max="1" width="59.421875" style="111" bestFit="1" customWidth="1"/>
    <col min="2" max="2" width="11.421875" style="111" bestFit="1" customWidth="1"/>
    <col min="3" max="3" width="12.421875" style="111" bestFit="1" customWidth="1"/>
    <col min="4" max="4" width="11.421875" style="111" bestFit="1" customWidth="1"/>
    <col min="5" max="5" width="12.421875" style="111" bestFit="1" customWidth="1"/>
    <col min="6" max="6" width="11.421875" style="111" bestFit="1" customWidth="1"/>
    <col min="7" max="7" width="12.421875" style="111" bestFit="1" customWidth="1"/>
    <col min="8" max="8" width="11.421875" style="111" bestFit="1" customWidth="1"/>
    <col min="9" max="9" width="12.421875" style="111" bestFit="1" customWidth="1"/>
    <col min="10" max="10" width="11.421875" style="111" bestFit="1" customWidth="1"/>
    <col min="11" max="11" width="12.421875" style="111" bestFit="1" customWidth="1"/>
    <col min="12" max="12" width="11.421875" style="111" bestFit="1" customWidth="1"/>
    <col min="13" max="13" width="12.421875" style="111" bestFit="1" customWidth="1"/>
    <col min="14" max="14" width="11.421875" style="111" bestFit="1" customWidth="1"/>
    <col min="15" max="15" width="12.421875" style="111" bestFit="1" customWidth="1"/>
    <col min="16" max="16" width="11.421875" style="111" bestFit="1" customWidth="1"/>
    <col min="17" max="17" width="12.421875" style="111" bestFit="1" customWidth="1"/>
    <col min="18" max="18" width="11.421875" style="111" bestFit="1" customWidth="1"/>
    <col min="19" max="19" width="12.421875" style="111" bestFit="1" customWidth="1"/>
    <col min="20" max="20" width="11.421875" style="111" bestFit="1" customWidth="1"/>
    <col min="21" max="21" width="12.421875" style="111" bestFit="1" customWidth="1"/>
    <col min="22" max="22" width="11.57421875" style="111" bestFit="1" customWidth="1"/>
    <col min="23" max="23" width="12.421875" style="111" bestFit="1" customWidth="1"/>
    <col min="24" max="24" width="11.421875" style="111" bestFit="1" customWidth="1"/>
    <col min="25" max="25" width="12.421875" style="111" bestFit="1" customWidth="1"/>
    <col min="26" max="26" width="11.421875" style="111" bestFit="1" customWidth="1"/>
    <col min="27" max="27" width="12.421875" style="111" customWidth="1"/>
    <col min="28" max="28" width="11.421875" style="111" bestFit="1" customWidth="1"/>
    <col min="29" max="29" width="12.421875" style="111" bestFit="1" customWidth="1"/>
    <col min="30" max="30" width="11.421875" style="111" bestFit="1" customWidth="1"/>
    <col min="31" max="31" width="12.421875" style="111" bestFit="1" customWidth="1"/>
    <col min="32" max="32" width="11.421875" style="111" bestFit="1" customWidth="1"/>
    <col min="33" max="33" width="12.421875" style="111" bestFit="1" customWidth="1"/>
    <col min="34" max="34" width="11.421875" style="111" bestFit="1" customWidth="1"/>
    <col min="35" max="35" width="12.421875" style="111" bestFit="1" customWidth="1"/>
    <col min="36" max="36" width="11.421875" style="111" bestFit="1" customWidth="1"/>
    <col min="37" max="37" width="12.421875" style="111" bestFit="1" customWidth="1"/>
    <col min="38" max="38" width="11.421875" style="111" bestFit="1" customWidth="1"/>
    <col min="39" max="39" width="12.421875" style="111" bestFit="1" customWidth="1"/>
    <col min="40" max="40" width="11.421875" style="111" bestFit="1" customWidth="1"/>
    <col min="41" max="41" width="12.421875" style="111" bestFit="1" customWidth="1"/>
    <col min="42" max="42" width="11.421875" style="111" bestFit="1" customWidth="1"/>
    <col min="43" max="43" width="12.421875" style="111" bestFit="1" customWidth="1"/>
    <col min="44" max="44" width="11.421875" style="111" bestFit="1" customWidth="1"/>
    <col min="45" max="45" width="12.421875" style="111" bestFit="1" customWidth="1"/>
    <col min="46" max="46" width="11.421875" style="111" bestFit="1" customWidth="1"/>
    <col min="47" max="47" width="12.421875" style="111" bestFit="1" customWidth="1"/>
    <col min="48" max="48" width="11.421875" style="111" bestFit="1" customWidth="1"/>
    <col min="49" max="49" width="12.421875" style="111" bestFit="1" customWidth="1"/>
    <col min="50" max="51" width="12.8515625" style="111" bestFit="1" customWidth="1"/>
    <col min="52" max="52" width="11.421875" style="111" bestFit="1" customWidth="1"/>
    <col min="53" max="53" width="12.421875" style="111" bestFit="1" customWidth="1"/>
    <col min="54" max="16384" width="9.140625" style="111" customWidth="1"/>
  </cols>
  <sheetData>
    <row r="1" spans="1:52" ht="18">
      <c r="A1" s="1013" t="s">
        <v>236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1013"/>
      <c r="AA1" s="1013"/>
      <c r="AB1" s="1013"/>
      <c r="AC1" s="1013"/>
      <c r="AD1" s="1013"/>
      <c r="AE1" s="1013"/>
      <c r="AF1" s="1013"/>
      <c r="AG1" s="1013"/>
      <c r="AH1" s="1013"/>
      <c r="AI1" s="1013"/>
      <c r="AJ1" s="1013"/>
      <c r="AK1" s="1013"/>
      <c r="AL1" s="1013"/>
      <c r="AM1" s="1013"/>
      <c r="AN1" s="1013"/>
      <c r="AO1" s="1013"/>
      <c r="AP1" s="1013"/>
      <c r="AQ1" s="1013"/>
      <c r="AR1" s="1013"/>
      <c r="AS1" s="1013"/>
      <c r="AT1" s="1013"/>
      <c r="AU1" s="1013"/>
      <c r="AV1" s="1013"/>
      <c r="AW1" s="1013"/>
      <c r="AX1" s="1013"/>
      <c r="AY1" s="1013"/>
      <c r="AZ1" s="1013"/>
    </row>
    <row r="2" spans="1:52" s="835" customFormat="1" ht="18.75" thickBot="1">
      <c r="A2" s="1014" t="s">
        <v>237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4"/>
      <c r="S2" s="1014"/>
      <c r="T2" s="1014"/>
      <c r="U2" s="1014"/>
      <c r="V2" s="1014"/>
      <c r="W2" s="1014"/>
      <c r="X2" s="1014"/>
      <c r="Y2" s="1014"/>
      <c r="Z2" s="1014"/>
      <c r="AA2" s="1014"/>
      <c r="AB2" s="1014"/>
      <c r="AC2" s="1014"/>
      <c r="AD2" s="1014"/>
      <c r="AE2" s="1014"/>
      <c r="AF2" s="1014"/>
      <c r="AG2" s="1014"/>
      <c r="AH2" s="1014"/>
      <c r="AI2" s="1014"/>
      <c r="AJ2" s="1014"/>
      <c r="AK2" s="1014"/>
      <c r="AL2" s="1014"/>
      <c r="AM2" s="1014"/>
      <c r="AN2" s="1014"/>
      <c r="AO2" s="1014"/>
      <c r="AP2" s="1014"/>
      <c r="AQ2" s="1014"/>
      <c r="AR2" s="1014"/>
      <c r="AS2" s="1014"/>
      <c r="AT2" s="1014"/>
      <c r="AU2" s="1014"/>
      <c r="AV2" s="1014"/>
      <c r="AW2" s="1014"/>
      <c r="AX2" s="1014"/>
      <c r="AY2" s="1014"/>
      <c r="AZ2" s="1014"/>
    </row>
    <row r="3" spans="1:53" s="144" customFormat="1" ht="27.75" customHeight="1" thickBot="1">
      <c r="A3" s="1015" t="s">
        <v>0</v>
      </c>
      <c r="B3" s="1017" t="s">
        <v>116</v>
      </c>
      <c r="C3" s="1018"/>
      <c r="D3" s="1019" t="s">
        <v>117</v>
      </c>
      <c r="E3" s="1020"/>
      <c r="F3" s="1019" t="s">
        <v>118</v>
      </c>
      <c r="G3" s="1020"/>
      <c r="H3" s="1019" t="s">
        <v>119</v>
      </c>
      <c r="I3" s="1020"/>
      <c r="J3" s="1019" t="s">
        <v>120</v>
      </c>
      <c r="K3" s="1020"/>
      <c r="L3" s="1019" t="s">
        <v>121</v>
      </c>
      <c r="M3" s="1020"/>
      <c r="N3" s="1019" t="s">
        <v>335</v>
      </c>
      <c r="O3" s="1020"/>
      <c r="P3" s="1019" t="s">
        <v>122</v>
      </c>
      <c r="Q3" s="1020"/>
      <c r="R3" s="1019" t="s">
        <v>123</v>
      </c>
      <c r="S3" s="1020"/>
      <c r="T3" s="1019" t="s">
        <v>124</v>
      </c>
      <c r="U3" s="1020"/>
      <c r="V3" s="1019" t="s">
        <v>125</v>
      </c>
      <c r="W3" s="1020"/>
      <c r="X3" s="1019" t="s">
        <v>126</v>
      </c>
      <c r="Y3" s="1020"/>
      <c r="Z3" s="1019" t="s">
        <v>235</v>
      </c>
      <c r="AA3" s="1020"/>
      <c r="AB3" s="1019" t="s">
        <v>127</v>
      </c>
      <c r="AC3" s="1020"/>
      <c r="AD3" s="1019" t="s">
        <v>128</v>
      </c>
      <c r="AE3" s="1020"/>
      <c r="AF3" s="1019" t="s">
        <v>129</v>
      </c>
      <c r="AG3" s="1020"/>
      <c r="AH3" s="1019" t="s">
        <v>130</v>
      </c>
      <c r="AI3" s="1020"/>
      <c r="AJ3" s="1019" t="s">
        <v>131</v>
      </c>
      <c r="AK3" s="1020"/>
      <c r="AL3" s="1019" t="s">
        <v>132</v>
      </c>
      <c r="AM3" s="1020"/>
      <c r="AN3" s="1019" t="s">
        <v>133</v>
      </c>
      <c r="AO3" s="1020"/>
      <c r="AP3" s="1023" t="s">
        <v>134</v>
      </c>
      <c r="AQ3" s="1024"/>
      <c r="AR3" s="1025" t="s">
        <v>135</v>
      </c>
      <c r="AS3" s="1026"/>
      <c r="AT3" s="1019" t="s">
        <v>136</v>
      </c>
      <c r="AU3" s="1020"/>
      <c r="AV3" s="1019" t="s">
        <v>1</v>
      </c>
      <c r="AW3" s="1027"/>
      <c r="AX3" s="1023" t="s">
        <v>137</v>
      </c>
      <c r="AY3" s="1024"/>
      <c r="AZ3" s="1021" t="s">
        <v>2</v>
      </c>
      <c r="BA3" s="1022"/>
    </row>
    <row r="4" spans="1:53" s="410" customFormat="1" ht="15" customHeight="1" thickBot="1">
      <c r="A4" s="1016"/>
      <c r="B4" s="836" t="s">
        <v>222</v>
      </c>
      <c r="C4" s="837" t="s">
        <v>223</v>
      </c>
      <c r="D4" s="836" t="s">
        <v>222</v>
      </c>
      <c r="E4" s="837" t="s">
        <v>223</v>
      </c>
      <c r="F4" s="836" t="s">
        <v>222</v>
      </c>
      <c r="G4" s="837" t="s">
        <v>223</v>
      </c>
      <c r="H4" s="836" t="s">
        <v>222</v>
      </c>
      <c r="I4" s="837" t="s">
        <v>223</v>
      </c>
      <c r="J4" s="836" t="s">
        <v>222</v>
      </c>
      <c r="K4" s="837" t="s">
        <v>223</v>
      </c>
      <c r="L4" s="836" t="s">
        <v>222</v>
      </c>
      <c r="M4" s="837" t="s">
        <v>223</v>
      </c>
      <c r="N4" s="836" t="s">
        <v>222</v>
      </c>
      <c r="O4" s="837" t="s">
        <v>223</v>
      </c>
      <c r="P4" s="836" t="s">
        <v>222</v>
      </c>
      <c r="Q4" s="837" t="s">
        <v>223</v>
      </c>
      <c r="R4" s="836" t="s">
        <v>222</v>
      </c>
      <c r="S4" s="837" t="s">
        <v>223</v>
      </c>
      <c r="T4" s="836" t="s">
        <v>222</v>
      </c>
      <c r="U4" s="837" t="s">
        <v>223</v>
      </c>
      <c r="V4" s="836" t="s">
        <v>222</v>
      </c>
      <c r="W4" s="837" t="s">
        <v>223</v>
      </c>
      <c r="X4" s="836" t="s">
        <v>222</v>
      </c>
      <c r="Y4" s="837" t="s">
        <v>223</v>
      </c>
      <c r="Z4" s="836" t="s">
        <v>222</v>
      </c>
      <c r="AA4" s="837" t="s">
        <v>223</v>
      </c>
      <c r="AB4" s="836" t="s">
        <v>222</v>
      </c>
      <c r="AC4" s="837" t="s">
        <v>223</v>
      </c>
      <c r="AD4" s="836" t="s">
        <v>222</v>
      </c>
      <c r="AE4" s="837" t="s">
        <v>223</v>
      </c>
      <c r="AF4" s="836" t="s">
        <v>222</v>
      </c>
      <c r="AG4" s="837" t="s">
        <v>223</v>
      </c>
      <c r="AH4" s="836" t="s">
        <v>222</v>
      </c>
      <c r="AI4" s="837" t="s">
        <v>223</v>
      </c>
      <c r="AJ4" s="836" t="s">
        <v>222</v>
      </c>
      <c r="AK4" s="837" t="s">
        <v>223</v>
      </c>
      <c r="AL4" s="836" t="s">
        <v>222</v>
      </c>
      <c r="AM4" s="837" t="s">
        <v>223</v>
      </c>
      <c r="AN4" s="836" t="s">
        <v>222</v>
      </c>
      <c r="AO4" s="837" t="s">
        <v>223</v>
      </c>
      <c r="AP4" s="836" t="s">
        <v>222</v>
      </c>
      <c r="AQ4" s="837" t="s">
        <v>223</v>
      </c>
      <c r="AR4" s="836" t="s">
        <v>222</v>
      </c>
      <c r="AS4" s="837" t="s">
        <v>223</v>
      </c>
      <c r="AT4" s="836" t="s">
        <v>222</v>
      </c>
      <c r="AU4" s="837" t="s">
        <v>223</v>
      </c>
      <c r="AV4" s="836" t="s">
        <v>222</v>
      </c>
      <c r="AW4" s="790" t="s">
        <v>223</v>
      </c>
      <c r="AX4" s="836" t="s">
        <v>222</v>
      </c>
      <c r="AY4" s="837" t="s">
        <v>223</v>
      </c>
      <c r="AZ4" s="836" t="s">
        <v>222</v>
      </c>
      <c r="BA4" s="790" t="s">
        <v>223</v>
      </c>
    </row>
    <row r="5" spans="1:53" ht="15" customHeight="1">
      <c r="A5" s="838" t="s">
        <v>238</v>
      </c>
      <c r="B5" s="839">
        <v>1765414</v>
      </c>
      <c r="C5" s="840">
        <v>4875510</v>
      </c>
      <c r="D5" s="839">
        <v>195691</v>
      </c>
      <c r="E5" s="840">
        <v>658597</v>
      </c>
      <c r="F5" s="841"/>
      <c r="G5" s="840"/>
      <c r="H5" s="839">
        <v>2950971</v>
      </c>
      <c r="I5" s="840">
        <v>7818440</v>
      </c>
      <c r="J5" s="839">
        <v>906936</v>
      </c>
      <c r="K5" s="840">
        <v>2337894</v>
      </c>
      <c r="L5" s="839">
        <v>896265</v>
      </c>
      <c r="M5" s="840">
        <v>2547246</v>
      </c>
      <c r="N5" s="839">
        <v>739384</v>
      </c>
      <c r="O5" s="840">
        <v>1172431</v>
      </c>
      <c r="P5" s="839">
        <v>724995</v>
      </c>
      <c r="Q5" s="840">
        <v>2191388</v>
      </c>
      <c r="R5" s="839">
        <v>744465</v>
      </c>
      <c r="S5" s="840">
        <v>2216567</v>
      </c>
      <c r="T5" s="839">
        <v>948727</v>
      </c>
      <c r="U5" s="840">
        <v>2689779</v>
      </c>
      <c r="V5" s="839">
        <v>4373490</v>
      </c>
      <c r="W5" s="840">
        <v>11445556</v>
      </c>
      <c r="X5" s="839">
        <v>2324399</v>
      </c>
      <c r="Y5" s="840">
        <v>6676260</v>
      </c>
      <c r="Z5" s="839">
        <v>330900</v>
      </c>
      <c r="AA5" s="840">
        <v>827995</v>
      </c>
      <c r="AB5" s="839">
        <v>734658</v>
      </c>
      <c r="AC5" s="840">
        <v>1988278</v>
      </c>
      <c r="AD5" s="839">
        <v>2513939</v>
      </c>
      <c r="AE5" s="840">
        <v>6952998</v>
      </c>
      <c r="AF5" s="839">
        <v>4483823</v>
      </c>
      <c r="AG5" s="840">
        <v>11030169</v>
      </c>
      <c r="AH5" s="839">
        <v>1628419</v>
      </c>
      <c r="AI5" s="840">
        <v>4637931</v>
      </c>
      <c r="AJ5" s="839">
        <v>1813819</v>
      </c>
      <c r="AK5" s="840">
        <v>5238820</v>
      </c>
      <c r="AL5" s="839"/>
      <c r="AM5" s="840"/>
      <c r="AN5" s="842">
        <v>3984352</v>
      </c>
      <c r="AO5" s="843">
        <v>11197480</v>
      </c>
      <c r="AP5" s="839">
        <v>843602</v>
      </c>
      <c r="AQ5" s="840">
        <v>2387723</v>
      </c>
      <c r="AR5" s="839">
        <v>649608</v>
      </c>
      <c r="AS5" s="840">
        <v>1892518</v>
      </c>
      <c r="AT5" s="839">
        <v>1687029</v>
      </c>
      <c r="AU5" s="840">
        <v>5075451</v>
      </c>
      <c r="AV5" s="839">
        <f>SUM(B5+D5+F5+H5+J5+L5+N5+P5+R5+T5+V5+X5+Z5+AB5+AD5+AF5+AH5+AJ5+AL5+AN5+AP5+AR5+AT5)</f>
        <v>35240886</v>
      </c>
      <c r="AW5" s="934">
        <f>SUM(C5+E5+G5+I5+K5+M5+O5+Q5+S5+U5+W5+Y5+AA5+AC5+AE5+AG5+AI5+AK5+AM5+AO5+AQ5+AS5+AU5)</f>
        <v>95859031</v>
      </c>
      <c r="AX5" s="839">
        <v>81400183</v>
      </c>
      <c r="AY5" s="840">
        <v>203865116</v>
      </c>
      <c r="AZ5" s="844">
        <f>AV5+AX5</f>
        <v>116641069</v>
      </c>
      <c r="BA5" s="937">
        <f>AW5+AY5</f>
        <v>299724147</v>
      </c>
    </row>
    <row r="6" spans="1:53" ht="16.5">
      <c r="A6" s="845" t="s">
        <v>239</v>
      </c>
      <c r="B6" s="846">
        <v>17734</v>
      </c>
      <c r="C6" s="840">
        <v>37546</v>
      </c>
      <c r="D6" s="841">
        <v>1949</v>
      </c>
      <c r="E6" s="840">
        <v>2974</v>
      </c>
      <c r="F6" s="841"/>
      <c r="G6" s="840"/>
      <c r="H6" s="841">
        <v>25321</v>
      </c>
      <c r="I6" s="840">
        <v>37128</v>
      </c>
      <c r="J6" s="841">
        <v>4688</v>
      </c>
      <c r="K6" s="840">
        <v>11082</v>
      </c>
      <c r="L6" s="841">
        <v>36416</v>
      </c>
      <c r="M6" s="840">
        <v>86708</v>
      </c>
      <c r="N6" s="841">
        <v>1115</v>
      </c>
      <c r="O6" s="840">
        <v>2015</v>
      </c>
      <c r="P6" s="841">
        <v>11361</v>
      </c>
      <c r="Q6" s="840">
        <v>36075</v>
      </c>
      <c r="R6" s="841">
        <v>2608</v>
      </c>
      <c r="S6" s="840">
        <v>8442</v>
      </c>
      <c r="T6" s="841">
        <v>5088</v>
      </c>
      <c r="U6" s="840">
        <v>9311</v>
      </c>
      <c r="V6" s="841">
        <v>11667</v>
      </c>
      <c r="W6" s="840">
        <v>18647</v>
      </c>
      <c r="X6" s="841">
        <v>25916</v>
      </c>
      <c r="Y6" s="840">
        <v>43041</v>
      </c>
      <c r="Z6" s="847">
        <v>9495</v>
      </c>
      <c r="AA6" s="840">
        <v>16512</v>
      </c>
      <c r="AB6" s="841">
        <v>28761</v>
      </c>
      <c r="AC6" s="840">
        <v>62579</v>
      </c>
      <c r="AD6" s="841">
        <v>26575</v>
      </c>
      <c r="AE6" s="840">
        <v>53923</v>
      </c>
      <c r="AF6" s="841">
        <v>66952</v>
      </c>
      <c r="AG6" s="840">
        <v>150652</v>
      </c>
      <c r="AH6" s="841">
        <v>16637</v>
      </c>
      <c r="AI6" s="840">
        <v>22700</v>
      </c>
      <c r="AJ6" s="841">
        <v>4148</v>
      </c>
      <c r="AK6" s="840">
        <v>5321</v>
      </c>
      <c r="AL6" s="848"/>
      <c r="AM6" s="840"/>
      <c r="AN6" s="849">
        <v>153012</v>
      </c>
      <c r="AO6" s="843">
        <v>314873</v>
      </c>
      <c r="AP6" s="841">
        <v>37204</v>
      </c>
      <c r="AQ6" s="840">
        <v>102672</v>
      </c>
      <c r="AR6" s="850">
        <v>8596</v>
      </c>
      <c r="AS6" s="840">
        <v>15342</v>
      </c>
      <c r="AT6" s="841">
        <v>45746</v>
      </c>
      <c r="AU6" s="840">
        <v>94591</v>
      </c>
      <c r="AV6" s="839">
        <f aca="true" t="shared" si="0" ref="AV6:AV38">SUM(B6+D6+F6+H6+J6+L6+N6+P6+R6+T6+V6+X6+Z6+AB6+AD6+AF6+AH6+AJ6+AL6+AN6+AP6+AR6+AT6)</f>
        <v>540989</v>
      </c>
      <c r="AW6" s="934">
        <f aca="true" t="shared" si="1" ref="AW6:AW38">SUM(C6+E6+G6+I6+K6+M6+O6+Q6+S6+U6+W6+Y6+AA6+AC6+AE6+AG6+AI6+AK6+AM6+AO6+AQ6+AS6+AU6)</f>
        <v>1132134</v>
      </c>
      <c r="AX6" s="850">
        <v>507880</v>
      </c>
      <c r="AY6" s="840">
        <v>1284013</v>
      </c>
      <c r="AZ6" s="844">
        <f aca="true" t="shared" si="2" ref="AZ6:AZ38">AV6+AX6</f>
        <v>1048869</v>
      </c>
      <c r="BA6" s="937">
        <f aca="true" t="shared" si="3" ref="BA6:BA38">AW6+AY6</f>
        <v>2416147</v>
      </c>
    </row>
    <row r="7" spans="1:53" ht="16.5">
      <c r="A7" s="845" t="s">
        <v>240</v>
      </c>
      <c r="B7" s="846">
        <v>10869</v>
      </c>
      <c r="C7" s="840">
        <v>59542</v>
      </c>
      <c r="D7" s="841">
        <v>382</v>
      </c>
      <c r="E7" s="840">
        <v>375</v>
      </c>
      <c r="F7" s="841"/>
      <c r="G7" s="840"/>
      <c r="H7" s="841">
        <v>4585</v>
      </c>
      <c r="I7" s="840">
        <v>15815</v>
      </c>
      <c r="J7" s="841">
        <v>748</v>
      </c>
      <c r="K7" s="840">
        <v>1894</v>
      </c>
      <c r="L7" s="841">
        <v>24099</v>
      </c>
      <c r="M7" s="840">
        <v>56958</v>
      </c>
      <c r="N7" s="841">
        <v>3971</v>
      </c>
      <c r="O7" s="840">
        <v>6514</v>
      </c>
      <c r="P7" s="841">
        <v>-16878</v>
      </c>
      <c r="Q7" s="840">
        <v>5717</v>
      </c>
      <c r="R7" s="841"/>
      <c r="S7" s="840"/>
      <c r="T7" s="841">
        <v>32262</v>
      </c>
      <c r="U7" s="840">
        <v>81468</v>
      </c>
      <c r="V7" s="841">
        <v>282911</v>
      </c>
      <c r="W7" s="840">
        <v>709112</v>
      </c>
      <c r="X7" s="841">
        <v>10927</v>
      </c>
      <c r="Y7" s="840">
        <v>26642</v>
      </c>
      <c r="Z7" s="847">
        <v>911</v>
      </c>
      <c r="AA7" s="840">
        <v>1532</v>
      </c>
      <c r="AB7" s="841">
        <v>20342</v>
      </c>
      <c r="AC7" s="840">
        <v>52179</v>
      </c>
      <c r="AD7" s="841"/>
      <c r="AE7" s="840"/>
      <c r="AF7" s="841">
        <v>182836</v>
      </c>
      <c r="AG7" s="840">
        <v>641562</v>
      </c>
      <c r="AH7" s="841">
        <v>4892</v>
      </c>
      <c r="AI7" s="840">
        <v>7983</v>
      </c>
      <c r="AJ7" s="841">
        <v>42374</v>
      </c>
      <c r="AK7" s="840">
        <v>78979</v>
      </c>
      <c r="AL7" s="848"/>
      <c r="AM7" s="840"/>
      <c r="AN7" s="849">
        <v>44191</v>
      </c>
      <c r="AO7" s="843">
        <v>129755</v>
      </c>
      <c r="AP7" s="841">
        <v>8556</v>
      </c>
      <c r="AQ7" s="840">
        <v>20750</v>
      </c>
      <c r="AR7" s="850">
        <v>9296</v>
      </c>
      <c r="AS7" s="840">
        <v>39403</v>
      </c>
      <c r="AT7" s="841">
        <v>15271</v>
      </c>
      <c r="AU7" s="840">
        <v>32898</v>
      </c>
      <c r="AV7" s="839">
        <f t="shared" si="0"/>
        <v>682545</v>
      </c>
      <c r="AW7" s="934">
        <f t="shared" si="1"/>
        <v>1969078</v>
      </c>
      <c r="AX7" s="850">
        <v>21496</v>
      </c>
      <c r="AY7" s="840">
        <v>55806</v>
      </c>
      <c r="AZ7" s="844">
        <f t="shared" si="2"/>
        <v>704041</v>
      </c>
      <c r="BA7" s="937">
        <f t="shared" si="3"/>
        <v>2024884</v>
      </c>
    </row>
    <row r="8" spans="1:53" ht="16.5">
      <c r="A8" s="845" t="s">
        <v>241</v>
      </c>
      <c r="B8" s="846">
        <v>147874</v>
      </c>
      <c r="C8" s="840">
        <v>401590</v>
      </c>
      <c r="D8" s="841">
        <v>21575</v>
      </c>
      <c r="E8" s="840">
        <v>62495</v>
      </c>
      <c r="F8" s="841"/>
      <c r="G8" s="840"/>
      <c r="H8" s="841">
        <v>45123</v>
      </c>
      <c r="I8" s="840">
        <v>155338</v>
      </c>
      <c r="J8" s="841">
        <v>73780</v>
      </c>
      <c r="K8" s="840">
        <v>201332</v>
      </c>
      <c r="L8" s="841">
        <v>74136</v>
      </c>
      <c r="M8" s="840">
        <v>260134</v>
      </c>
      <c r="N8" s="841">
        <v>80865</v>
      </c>
      <c r="O8" s="840">
        <v>129015</v>
      </c>
      <c r="P8" s="841">
        <v>52746</v>
      </c>
      <c r="Q8" s="840">
        <v>174066</v>
      </c>
      <c r="R8" s="841">
        <v>104621</v>
      </c>
      <c r="S8" s="840">
        <v>324845</v>
      </c>
      <c r="T8" s="841">
        <v>64223</v>
      </c>
      <c r="U8" s="840">
        <v>197236</v>
      </c>
      <c r="V8" s="841">
        <v>240849</v>
      </c>
      <c r="W8" s="840">
        <v>771365</v>
      </c>
      <c r="X8" s="841">
        <v>428235</v>
      </c>
      <c r="Y8" s="840">
        <v>1225298</v>
      </c>
      <c r="Z8" s="847">
        <v>19512</v>
      </c>
      <c r="AA8" s="840">
        <v>59960</v>
      </c>
      <c r="AB8" s="841">
        <v>26288</v>
      </c>
      <c r="AC8" s="840">
        <v>131540</v>
      </c>
      <c r="AD8" s="841">
        <v>121858</v>
      </c>
      <c r="AE8" s="840">
        <v>374528</v>
      </c>
      <c r="AF8" s="841">
        <v>220190</v>
      </c>
      <c r="AG8" s="840">
        <v>640200</v>
      </c>
      <c r="AH8" s="841">
        <v>128665</v>
      </c>
      <c r="AI8" s="840">
        <v>386434</v>
      </c>
      <c r="AJ8" s="841">
        <f>104222+53167</f>
        <v>157389</v>
      </c>
      <c r="AK8" s="840">
        <f>329663+168670</f>
        <v>498333</v>
      </c>
      <c r="AL8" s="848"/>
      <c r="AM8" s="840"/>
      <c r="AN8" s="849">
        <v>212919</v>
      </c>
      <c r="AO8" s="843">
        <v>651014</v>
      </c>
      <c r="AP8" s="841">
        <v>38863</v>
      </c>
      <c r="AQ8" s="840">
        <v>121032</v>
      </c>
      <c r="AR8" s="850">
        <v>39389</v>
      </c>
      <c r="AS8" s="840">
        <v>113415</v>
      </c>
      <c r="AT8" s="841">
        <v>74125</v>
      </c>
      <c r="AU8" s="840">
        <v>218884</v>
      </c>
      <c r="AV8" s="839">
        <f t="shared" si="0"/>
        <v>2373225</v>
      </c>
      <c r="AW8" s="934">
        <f t="shared" si="1"/>
        <v>7098054</v>
      </c>
      <c r="AX8" s="850">
        <v>1503899</v>
      </c>
      <c r="AY8" s="840">
        <v>4244647</v>
      </c>
      <c r="AZ8" s="844">
        <f t="shared" si="2"/>
        <v>3877124</v>
      </c>
      <c r="BA8" s="937">
        <f t="shared" si="3"/>
        <v>11342701</v>
      </c>
    </row>
    <row r="9" spans="1:53" ht="16.5">
      <c r="A9" s="845" t="s">
        <v>242</v>
      </c>
      <c r="B9" s="846">
        <v>54264</v>
      </c>
      <c r="C9" s="840">
        <v>176849</v>
      </c>
      <c r="D9" s="841">
        <v>878</v>
      </c>
      <c r="E9" s="840">
        <v>1496</v>
      </c>
      <c r="F9" s="841"/>
      <c r="G9" s="840"/>
      <c r="H9" s="841">
        <v>82435</v>
      </c>
      <c r="I9" s="840">
        <v>212880</v>
      </c>
      <c r="J9" s="841">
        <v>7768</v>
      </c>
      <c r="K9" s="840">
        <v>19179</v>
      </c>
      <c r="L9" s="841">
        <v>4415</v>
      </c>
      <c r="M9" s="840">
        <v>14907</v>
      </c>
      <c r="N9" s="841">
        <v>28866</v>
      </c>
      <c r="O9" s="840">
        <v>46879</v>
      </c>
      <c r="P9" s="841">
        <v>19052</v>
      </c>
      <c r="Q9" s="840">
        <v>64121</v>
      </c>
      <c r="R9" s="841">
        <v>96489</v>
      </c>
      <c r="S9" s="840">
        <v>264706</v>
      </c>
      <c r="T9" s="841">
        <v>39078</v>
      </c>
      <c r="U9" s="840">
        <v>84912</v>
      </c>
      <c r="V9" s="841">
        <v>12003</v>
      </c>
      <c r="W9" s="840">
        <v>19753</v>
      </c>
      <c r="X9" s="841">
        <v>95722</v>
      </c>
      <c r="Y9" s="840">
        <v>263484</v>
      </c>
      <c r="Z9" s="847">
        <v>11968</v>
      </c>
      <c r="AA9" s="840">
        <v>31406</v>
      </c>
      <c r="AB9" s="841">
        <v>7947</v>
      </c>
      <c r="AC9" s="840">
        <v>22585</v>
      </c>
      <c r="AD9" s="841">
        <v>37411</v>
      </c>
      <c r="AE9" s="840">
        <v>143591</v>
      </c>
      <c r="AF9" s="841">
        <v>73893</v>
      </c>
      <c r="AG9" s="840">
        <v>244581</v>
      </c>
      <c r="AH9" s="841">
        <v>4512</v>
      </c>
      <c r="AI9" s="840">
        <v>17007</v>
      </c>
      <c r="AJ9" s="841">
        <v>3640</v>
      </c>
      <c r="AK9" s="840">
        <v>10832</v>
      </c>
      <c r="AL9" s="848"/>
      <c r="AM9" s="840"/>
      <c r="AN9" s="849">
        <v>197597</v>
      </c>
      <c r="AO9" s="843">
        <v>523010</v>
      </c>
      <c r="AP9" s="841">
        <v>713</v>
      </c>
      <c r="AQ9" s="840">
        <v>1252</v>
      </c>
      <c r="AR9" s="850">
        <v>32780</v>
      </c>
      <c r="AS9" s="840">
        <v>100860</v>
      </c>
      <c r="AT9" s="841">
        <v>49533</v>
      </c>
      <c r="AU9" s="840">
        <v>146794</v>
      </c>
      <c r="AV9" s="839">
        <f t="shared" si="0"/>
        <v>860964</v>
      </c>
      <c r="AW9" s="934">
        <f t="shared" si="1"/>
        <v>2411084</v>
      </c>
      <c r="AX9" s="850">
        <v>471952</v>
      </c>
      <c r="AY9" s="840">
        <v>1045943</v>
      </c>
      <c r="AZ9" s="844">
        <f t="shared" si="2"/>
        <v>1332916</v>
      </c>
      <c r="BA9" s="937">
        <f t="shared" si="3"/>
        <v>3457027</v>
      </c>
    </row>
    <row r="10" spans="1:53" ht="16.5">
      <c r="A10" s="845" t="s">
        <v>243</v>
      </c>
      <c r="B10" s="846">
        <v>7237</v>
      </c>
      <c r="C10" s="840">
        <v>16054</v>
      </c>
      <c r="D10" s="841">
        <v>863</v>
      </c>
      <c r="E10" s="840">
        <v>2635</v>
      </c>
      <c r="F10" s="841"/>
      <c r="G10" s="840"/>
      <c r="H10" s="841">
        <v>21381</v>
      </c>
      <c r="I10" s="840">
        <v>68882</v>
      </c>
      <c r="J10" s="841">
        <v>8771</v>
      </c>
      <c r="K10" s="840">
        <v>22235</v>
      </c>
      <c r="L10" s="841">
        <v>4820</v>
      </c>
      <c r="M10" s="840">
        <v>17570</v>
      </c>
      <c r="N10" s="841">
        <v>1824</v>
      </c>
      <c r="O10" s="840">
        <v>2041</v>
      </c>
      <c r="P10" s="841">
        <v>4187</v>
      </c>
      <c r="Q10" s="840">
        <v>9537</v>
      </c>
      <c r="R10" s="841">
        <v>5860</v>
      </c>
      <c r="S10" s="840">
        <v>15404</v>
      </c>
      <c r="T10" s="841">
        <v>1439</v>
      </c>
      <c r="U10" s="840">
        <v>4618</v>
      </c>
      <c r="V10" s="841">
        <v>19335</v>
      </c>
      <c r="W10" s="840">
        <v>59056</v>
      </c>
      <c r="X10" s="841">
        <v>16564</v>
      </c>
      <c r="Y10" s="840">
        <v>29440</v>
      </c>
      <c r="Z10" s="841">
        <v>199</v>
      </c>
      <c r="AA10" s="840">
        <v>1235</v>
      </c>
      <c r="AB10" s="841">
        <v>6818</v>
      </c>
      <c r="AC10" s="840">
        <v>11342</v>
      </c>
      <c r="AD10" s="841">
        <v>17030</v>
      </c>
      <c r="AE10" s="840">
        <v>48794</v>
      </c>
      <c r="AF10" s="841">
        <v>17768</v>
      </c>
      <c r="AG10" s="840">
        <v>51669</v>
      </c>
      <c r="AH10" s="841">
        <v>10122</v>
      </c>
      <c r="AI10" s="840">
        <v>26671</v>
      </c>
      <c r="AJ10" s="841">
        <v>5749</v>
      </c>
      <c r="AK10" s="840">
        <v>16881</v>
      </c>
      <c r="AL10" s="848"/>
      <c r="AM10" s="840"/>
      <c r="AN10" s="849">
        <v>26758</v>
      </c>
      <c r="AO10" s="843">
        <v>46681</v>
      </c>
      <c r="AP10" s="841">
        <v>14444</v>
      </c>
      <c r="AQ10" s="840">
        <v>25157</v>
      </c>
      <c r="AR10" s="850">
        <v>2221</v>
      </c>
      <c r="AS10" s="840">
        <v>6486</v>
      </c>
      <c r="AT10" s="841">
        <v>9362</v>
      </c>
      <c r="AU10" s="840">
        <v>26934</v>
      </c>
      <c r="AV10" s="839">
        <f t="shared" si="0"/>
        <v>202752</v>
      </c>
      <c r="AW10" s="934">
        <f t="shared" si="1"/>
        <v>509322</v>
      </c>
      <c r="AX10" s="841">
        <v>383485</v>
      </c>
      <c r="AY10" s="840">
        <v>1643621</v>
      </c>
      <c r="AZ10" s="844">
        <f t="shared" si="2"/>
        <v>586237</v>
      </c>
      <c r="BA10" s="937">
        <f t="shared" si="3"/>
        <v>2152943</v>
      </c>
    </row>
    <row r="11" spans="1:53" ht="16.5">
      <c r="A11" s="845" t="s">
        <v>244</v>
      </c>
      <c r="B11" s="846">
        <v>22803</v>
      </c>
      <c r="C11" s="840">
        <v>62162</v>
      </c>
      <c r="D11" s="841">
        <v>3909</v>
      </c>
      <c r="E11" s="840">
        <v>9615</v>
      </c>
      <c r="F11" s="841"/>
      <c r="G11" s="840"/>
      <c r="H11" s="841">
        <v>11304</v>
      </c>
      <c r="I11" s="840">
        <v>22190</v>
      </c>
      <c r="J11" s="841">
        <v>6184</v>
      </c>
      <c r="K11" s="840">
        <v>18340</v>
      </c>
      <c r="L11" s="841">
        <v>73651</v>
      </c>
      <c r="M11" s="840">
        <v>267134</v>
      </c>
      <c r="N11" s="841">
        <v>13093</v>
      </c>
      <c r="O11" s="840">
        <v>21478</v>
      </c>
      <c r="P11" s="841">
        <v>6428</v>
      </c>
      <c r="Q11" s="840">
        <v>27239</v>
      </c>
      <c r="R11" s="841">
        <v>7576</v>
      </c>
      <c r="S11" s="840">
        <v>23169</v>
      </c>
      <c r="T11" s="841">
        <v>11673</v>
      </c>
      <c r="U11" s="840">
        <v>35132</v>
      </c>
      <c r="V11" s="841">
        <v>58558</v>
      </c>
      <c r="W11" s="840">
        <v>143985</v>
      </c>
      <c r="X11" s="841">
        <v>326050</v>
      </c>
      <c r="Y11" s="840">
        <v>876400</v>
      </c>
      <c r="Z11" s="841">
        <v>3669</v>
      </c>
      <c r="AA11" s="840">
        <v>7746</v>
      </c>
      <c r="AB11" s="841">
        <v>22121</v>
      </c>
      <c r="AC11" s="840">
        <v>63001</v>
      </c>
      <c r="AD11" s="851">
        <v>33096</v>
      </c>
      <c r="AE11" s="840">
        <v>80963</v>
      </c>
      <c r="AF11" s="841">
        <v>217087</v>
      </c>
      <c r="AG11" s="840">
        <v>505821</v>
      </c>
      <c r="AH11" s="841">
        <v>29664</v>
      </c>
      <c r="AI11" s="840">
        <v>101226</v>
      </c>
      <c r="AJ11" s="841">
        <v>6917</v>
      </c>
      <c r="AK11" s="840">
        <v>64346</v>
      </c>
      <c r="AL11" s="848"/>
      <c r="AM11" s="840"/>
      <c r="AN11" s="849">
        <v>121088</v>
      </c>
      <c r="AO11" s="843">
        <v>296035</v>
      </c>
      <c r="AP11" s="841">
        <v>16755</v>
      </c>
      <c r="AQ11" s="840">
        <v>53640</v>
      </c>
      <c r="AR11" s="850">
        <v>5344</v>
      </c>
      <c r="AS11" s="840">
        <v>16575</v>
      </c>
      <c r="AT11" s="841">
        <v>51104</v>
      </c>
      <c r="AU11" s="840">
        <v>149632</v>
      </c>
      <c r="AV11" s="839">
        <f t="shared" si="0"/>
        <v>1048074</v>
      </c>
      <c r="AW11" s="934">
        <f t="shared" si="1"/>
        <v>2845829</v>
      </c>
      <c r="AX11" s="850">
        <v>546879</v>
      </c>
      <c r="AY11" s="840">
        <v>1478834</v>
      </c>
      <c r="AZ11" s="844">
        <f t="shared" si="2"/>
        <v>1594953</v>
      </c>
      <c r="BA11" s="937">
        <f t="shared" si="3"/>
        <v>4324663</v>
      </c>
    </row>
    <row r="12" spans="1:53" ht="16.5">
      <c r="A12" s="845" t="s">
        <v>245</v>
      </c>
      <c r="B12" s="846">
        <v>28363</v>
      </c>
      <c r="C12" s="840">
        <v>72959</v>
      </c>
      <c r="D12" s="841">
        <v>7415</v>
      </c>
      <c r="E12" s="840">
        <v>21690</v>
      </c>
      <c r="F12" s="841"/>
      <c r="G12" s="840"/>
      <c r="H12" s="841">
        <v>221333</v>
      </c>
      <c r="I12" s="840">
        <v>460394</v>
      </c>
      <c r="J12" s="841">
        <v>96835</v>
      </c>
      <c r="K12" s="840">
        <v>239188</v>
      </c>
      <c r="L12" s="841">
        <v>52682</v>
      </c>
      <c r="M12" s="840">
        <v>109416</v>
      </c>
      <c r="N12" s="841">
        <v>60560</v>
      </c>
      <c r="O12" s="840">
        <v>95107</v>
      </c>
      <c r="P12" s="841">
        <v>40303</v>
      </c>
      <c r="Q12" s="840">
        <v>91180</v>
      </c>
      <c r="R12" s="841">
        <f>-229+188721</f>
        <v>188492</v>
      </c>
      <c r="S12" s="840">
        <f>876+388289</f>
        <v>389165</v>
      </c>
      <c r="T12" s="841">
        <v>33159</v>
      </c>
      <c r="U12" s="840">
        <v>79390</v>
      </c>
      <c r="V12" s="841">
        <v>532551</v>
      </c>
      <c r="W12" s="840">
        <v>1363178</v>
      </c>
      <c r="X12" s="841">
        <v>496810</v>
      </c>
      <c r="Y12" s="840">
        <v>1088089</v>
      </c>
      <c r="Z12" s="841">
        <f>13522+17753</f>
        <v>31275</v>
      </c>
      <c r="AA12" s="840">
        <f>25213+123955</f>
        <v>149168</v>
      </c>
      <c r="AB12" s="841">
        <v>13712</v>
      </c>
      <c r="AC12" s="840">
        <v>47646</v>
      </c>
      <c r="AD12" s="841">
        <v>57612</v>
      </c>
      <c r="AE12" s="840">
        <v>141713</v>
      </c>
      <c r="AF12" s="841">
        <v>86904</v>
      </c>
      <c r="AG12" s="840">
        <v>238186</v>
      </c>
      <c r="AH12" s="841">
        <v>39360</v>
      </c>
      <c r="AI12" s="840">
        <v>124088</v>
      </c>
      <c r="AJ12" s="841">
        <v>111938</v>
      </c>
      <c r="AK12" s="840">
        <v>179732</v>
      </c>
      <c r="AL12" s="848"/>
      <c r="AM12" s="840"/>
      <c r="AN12" s="849">
        <v>334406</v>
      </c>
      <c r="AO12" s="843">
        <v>1004655</v>
      </c>
      <c r="AP12" s="841">
        <v>58471</v>
      </c>
      <c r="AQ12" s="840">
        <v>161703</v>
      </c>
      <c r="AR12" s="850">
        <v>16125</v>
      </c>
      <c r="AS12" s="840">
        <v>54999</v>
      </c>
      <c r="AT12" s="841">
        <v>584981</v>
      </c>
      <c r="AU12" s="840">
        <v>1513671</v>
      </c>
      <c r="AV12" s="839">
        <f t="shared" si="0"/>
        <v>3093287</v>
      </c>
      <c r="AW12" s="934">
        <f t="shared" si="1"/>
        <v>7625317</v>
      </c>
      <c r="AX12" s="850">
        <v>29190</v>
      </c>
      <c r="AY12" s="840">
        <v>59341</v>
      </c>
      <c r="AZ12" s="844">
        <f t="shared" si="2"/>
        <v>3122477</v>
      </c>
      <c r="BA12" s="937">
        <f t="shared" si="3"/>
        <v>7684658</v>
      </c>
    </row>
    <row r="13" spans="1:53" ht="16.5">
      <c r="A13" s="845" t="s">
        <v>246</v>
      </c>
      <c r="B13" s="846">
        <v>22768</v>
      </c>
      <c r="C13" s="840">
        <v>73559</v>
      </c>
      <c r="D13" s="841">
        <v>7730</v>
      </c>
      <c r="E13" s="840">
        <v>30404</v>
      </c>
      <c r="F13" s="841"/>
      <c r="G13" s="840"/>
      <c r="H13" s="841">
        <v>225496</v>
      </c>
      <c r="I13" s="840">
        <v>708004</v>
      </c>
      <c r="J13" s="841">
        <v>4778</v>
      </c>
      <c r="K13" s="840">
        <v>16600</v>
      </c>
      <c r="L13" s="841">
        <v>11891</v>
      </c>
      <c r="M13" s="840">
        <v>37876</v>
      </c>
      <c r="N13" s="841">
        <v>2378</v>
      </c>
      <c r="O13" s="840">
        <v>2735</v>
      </c>
      <c r="P13" s="841">
        <v>2199</v>
      </c>
      <c r="Q13" s="840">
        <v>17095</v>
      </c>
      <c r="R13" s="841">
        <v>3290</v>
      </c>
      <c r="S13" s="840">
        <v>26403</v>
      </c>
      <c r="T13" s="841">
        <v>1731</v>
      </c>
      <c r="U13" s="840">
        <v>7076</v>
      </c>
      <c r="V13" s="841">
        <v>41347</v>
      </c>
      <c r="W13" s="840">
        <v>143674</v>
      </c>
      <c r="X13" s="841">
        <v>82315</v>
      </c>
      <c r="Y13" s="840">
        <v>215826</v>
      </c>
      <c r="Z13" s="841">
        <v>1949</v>
      </c>
      <c r="AA13" s="840">
        <v>3792</v>
      </c>
      <c r="AB13" s="841">
        <v>6023</v>
      </c>
      <c r="AC13" s="840">
        <v>20558</v>
      </c>
      <c r="AD13" s="841">
        <v>19597</v>
      </c>
      <c r="AE13" s="840">
        <v>75570</v>
      </c>
      <c r="AF13" s="841">
        <v>77541</v>
      </c>
      <c r="AG13" s="840">
        <v>262654</v>
      </c>
      <c r="AH13" s="841">
        <v>16761</v>
      </c>
      <c r="AI13" s="840">
        <v>58836</v>
      </c>
      <c r="AJ13" s="841">
        <v>5216</v>
      </c>
      <c r="AK13" s="840">
        <v>11743</v>
      </c>
      <c r="AL13" s="848"/>
      <c r="AM13" s="840"/>
      <c r="AN13" s="849">
        <v>96498</v>
      </c>
      <c r="AO13" s="843">
        <v>274547</v>
      </c>
      <c r="AP13" s="841">
        <v>1951</v>
      </c>
      <c r="AQ13" s="840">
        <v>4329</v>
      </c>
      <c r="AR13" s="850">
        <v>4919</v>
      </c>
      <c r="AS13" s="840">
        <v>11132</v>
      </c>
      <c r="AT13" s="841">
        <v>69322</v>
      </c>
      <c r="AU13" s="840">
        <v>209620</v>
      </c>
      <c r="AV13" s="839">
        <f t="shared" si="0"/>
        <v>705700</v>
      </c>
      <c r="AW13" s="934">
        <f t="shared" si="1"/>
        <v>2212033</v>
      </c>
      <c r="AX13" s="850">
        <v>141598</v>
      </c>
      <c r="AY13" s="840">
        <v>312574</v>
      </c>
      <c r="AZ13" s="844">
        <f t="shared" si="2"/>
        <v>847298</v>
      </c>
      <c r="BA13" s="937">
        <f t="shared" si="3"/>
        <v>2524607</v>
      </c>
    </row>
    <row r="14" spans="1:53" ht="16.5">
      <c r="A14" s="845" t="s">
        <v>247</v>
      </c>
      <c r="B14" s="846"/>
      <c r="C14" s="840"/>
      <c r="D14" s="841"/>
      <c r="E14" s="840"/>
      <c r="F14" s="841"/>
      <c r="G14" s="840"/>
      <c r="H14" s="841">
        <v>27896</v>
      </c>
      <c r="I14" s="840">
        <v>108886</v>
      </c>
      <c r="J14" s="841"/>
      <c r="K14" s="840"/>
      <c r="L14" s="841"/>
      <c r="M14" s="840"/>
      <c r="N14" s="841"/>
      <c r="O14" s="840"/>
      <c r="P14" s="841"/>
      <c r="Q14" s="840"/>
      <c r="R14" s="841"/>
      <c r="S14" s="840"/>
      <c r="T14" s="841"/>
      <c r="U14" s="840"/>
      <c r="V14" s="841"/>
      <c r="W14" s="840"/>
      <c r="X14" s="841"/>
      <c r="Y14" s="840"/>
      <c r="Z14" s="841"/>
      <c r="AA14" s="840"/>
      <c r="AB14" s="841"/>
      <c r="AC14" s="840"/>
      <c r="AD14" s="841"/>
      <c r="AE14" s="840"/>
      <c r="AF14" s="841"/>
      <c r="AG14" s="840"/>
      <c r="AH14" s="841"/>
      <c r="AI14" s="840"/>
      <c r="AJ14" s="841"/>
      <c r="AK14" s="840"/>
      <c r="AL14" s="848"/>
      <c r="AM14" s="840"/>
      <c r="AN14" s="841"/>
      <c r="AO14" s="843"/>
      <c r="AP14" s="841"/>
      <c r="AQ14" s="840"/>
      <c r="AR14" s="850"/>
      <c r="AS14" s="840"/>
      <c r="AT14" s="841"/>
      <c r="AU14" s="840"/>
      <c r="AV14" s="839">
        <f t="shared" si="0"/>
        <v>27896</v>
      </c>
      <c r="AW14" s="934">
        <f t="shared" si="1"/>
        <v>108886</v>
      </c>
      <c r="AX14" s="850"/>
      <c r="AY14" s="840"/>
      <c r="AZ14" s="844">
        <f t="shared" si="2"/>
        <v>27896</v>
      </c>
      <c r="BA14" s="937">
        <f t="shared" si="3"/>
        <v>108886</v>
      </c>
    </row>
    <row r="15" spans="1:53" ht="16.5">
      <c r="A15" s="845" t="s">
        <v>248</v>
      </c>
      <c r="B15" s="846">
        <v>2141</v>
      </c>
      <c r="C15" s="840">
        <v>6339</v>
      </c>
      <c r="D15" s="841">
        <v>963</v>
      </c>
      <c r="E15" s="840">
        <v>2888</v>
      </c>
      <c r="F15" s="841"/>
      <c r="G15" s="840"/>
      <c r="H15" s="841">
        <v>2375</v>
      </c>
      <c r="I15" s="840">
        <v>7125</v>
      </c>
      <c r="J15" s="841">
        <v>15717</v>
      </c>
      <c r="K15" s="840">
        <v>4696</v>
      </c>
      <c r="L15" s="841"/>
      <c r="M15" s="840">
        <v>1250</v>
      </c>
      <c r="N15" s="841">
        <v>1750</v>
      </c>
      <c r="O15" s="840">
        <v>2624</v>
      </c>
      <c r="P15" s="841"/>
      <c r="Q15" s="840"/>
      <c r="R15" s="841">
        <v>750</v>
      </c>
      <c r="S15" s="840">
        <v>2950</v>
      </c>
      <c r="T15" s="841">
        <v>950</v>
      </c>
      <c r="U15" s="840">
        <v>2850</v>
      </c>
      <c r="V15" s="841">
        <v>2400</v>
      </c>
      <c r="W15" s="840">
        <v>7200</v>
      </c>
      <c r="X15" s="841">
        <v>5435</v>
      </c>
      <c r="Y15" s="840">
        <v>16119</v>
      </c>
      <c r="Z15" s="847">
        <v>1112</v>
      </c>
      <c r="AA15" s="840">
        <v>3317</v>
      </c>
      <c r="AB15" s="841">
        <v>793</v>
      </c>
      <c r="AC15" s="840">
        <v>2538</v>
      </c>
      <c r="AD15" s="851">
        <v>1964</v>
      </c>
      <c r="AE15" s="840">
        <v>5869</v>
      </c>
      <c r="AF15" s="841">
        <v>2258</v>
      </c>
      <c r="AG15" s="840">
        <v>6772</v>
      </c>
      <c r="AH15" s="841">
        <v>1750</v>
      </c>
      <c r="AI15" s="840">
        <v>5250</v>
      </c>
      <c r="AJ15" s="841">
        <v>1650</v>
      </c>
      <c r="AK15" s="840">
        <v>4950</v>
      </c>
      <c r="AL15" s="848"/>
      <c r="AM15" s="840"/>
      <c r="AN15" s="849">
        <v>1100</v>
      </c>
      <c r="AO15" s="843">
        <v>4600</v>
      </c>
      <c r="AP15" s="841">
        <v>425</v>
      </c>
      <c r="AQ15" s="840">
        <v>1275</v>
      </c>
      <c r="AR15" s="850">
        <v>981</v>
      </c>
      <c r="AS15" s="840">
        <v>3467</v>
      </c>
      <c r="AT15" s="841">
        <v>1550</v>
      </c>
      <c r="AU15" s="840">
        <v>5350</v>
      </c>
      <c r="AV15" s="839">
        <f t="shared" si="0"/>
        <v>46064</v>
      </c>
      <c r="AW15" s="934">
        <f t="shared" si="1"/>
        <v>97429</v>
      </c>
      <c r="AX15" s="841">
        <v>17812</v>
      </c>
      <c r="AY15" s="840">
        <v>41076</v>
      </c>
      <c r="AZ15" s="844">
        <f t="shared" si="2"/>
        <v>63876</v>
      </c>
      <c r="BA15" s="937">
        <f t="shared" si="3"/>
        <v>138505</v>
      </c>
    </row>
    <row r="16" spans="1:53" ht="16.5">
      <c r="A16" s="845" t="s">
        <v>249</v>
      </c>
      <c r="B16" s="846"/>
      <c r="C16" s="840"/>
      <c r="D16" s="841"/>
      <c r="E16" s="840"/>
      <c r="F16" s="841"/>
      <c r="G16" s="840"/>
      <c r="H16" s="841"/>
      <c r="I16" s="840"/>
      <c r="J16" s="841"/>
      <c r="K16" s="840"/>
      <c r="L16" s="841"/>
      <c r="M16" s="840"/>
      <c r="N16" s="841"/>
      <c r="O16" s="840"/>
      <c r="P16" s="841">
        <v>700</v>
      </c>
      <c r="Q16" s="840">
        <v>2100</v>
      </c>
      <c r="R16" s="841"/>
      <c r="S16" s="840"/>
      <c r="T16" s="841"/>
      <c r="U16" s="840"/>
      <c r="V16" s="841"/>
      <c r="W16" s="840"/>
      <c r="X16" s="841"/>
      <c r="Y16" s="840"/>
      <c r="Z16" s="847"/>
      <c r="AA16" s="840"/>
      <c r="AB16" s="841"/>
      <c r="AC16" s="840"/>
      <c r="AD16" s="841"/>
      <c r="AE16" s="840"/>
      <c r="AF16" s="841"/>
      <c r="AG16" s="840"/>
      <c r="AH16" s="841"/>
      <c r="AI16" s="840"/>
      <c r="AJ16" s="841"/>
      <c r="AK16" s="840"/>
      <c r="AL16" s="848"/>
      <c r="AM16" s="840"/>
      <c r="AN16" s="849"/>
      <c r="AO16" s="843"/>
      <c r="AP16" s="841"/>
      <c r="AQ16" s="840"/>
      <c r="AR16" s="850"/>
      <c r="AS16" s="840"/>
      <c r="AT16" s="841"/>
      <c r="AU16" s="840"/>
      <c r="AV16" s="839">
        <f t="shared" si="0"/>
        <v>700</v>
      </c>
      <c r="AW16" s="934">
        <f t="shared" si="1"/>
        <v>2100</v>
      </c>
      <c r="AX16" s="841"/>
      <c r="AY16" s="840"/>
      <c r="AZ16" s="844">
        <f t="shared" si="2"/>
        <v>700</v>
      </c>
      <c r="BA16" s="937">
        <f t="shared" si="3"/>
        <v>2100</v>
      </c>
    </row>
    <row r="17" spans="1:53" ht="16.5">
      <c r="A17" s="845" t="s">
        <v>250</v>
      </c>
      <c r="B17" s="846"/>
      <c r="C17" s="840"/>
      <c r="D17" s="841"/>
      <c r="E17" s="840"/>
      <c r="F17" s="841"/>
      <c r="G17" s="840"/>
      <c r="H17" s="841">
        <v>400</v>
      </c>
      <c r="I17" s="840">
        <v>400</v>
      </c>
      <c r="J17" s="841">
        <v>61</v>
      </c>
      <c r="K17" s="840">
        <v>136</v>
      </c>
      <c r="L17" s="841">
        <v>350</v>
      </c>
      <c r="M17" s="840">
        <v>350</v>
      </c>
      <c r="N17" s="841"/>
      <c r="O17" s="840"/>
      <c r="P17" s="841"/>
      <c r="Q17" s="840"/>
      <c r="R17" s="841">
        <v>38</v>
      </c>
      <c r="S17" s="840">
        <v>113</v>
      </c>
      <c r="T17" s="841"/>
      <c r="U17" s="840"/>
      <c r="V17" s="841">
        <v>39</v>
      </c>
      <c r="W17" s="840">
        <v>117</v>
      </c>
      <c r="X17" s="841"/>
      <c r="Y17" s="840"/>
      <c r="Z17" s="847"/>
      <c r="AA17" s="840"/>
      <c r="AB17" s="841"/>
      <c r="AC17" s="840"/>
      <c r="AD17" s="841"/>
      <c r="AE17" s="840"/>
      <c r="AF17" s="841">
        <v>100</v>
      </c>
      <c r="AG17" s="840">
        <v>300</v>
      </c>
      <c r="AH17" s="841"/>
      <c r="AI17" s="840"/>
      <c r="AJ17" s="841"/>
      <c r="AK17" s="840"/>
      <c r="AL17" s="848"/>
      <c r="AM17" s="840"/>
      <c r="AN17" s="849"/>
      <c r="AO17" s="843"/>
      <c r="AP17" s="841"/>
      <c r="AQ17" s="840"/>
      <c r="AR17" s="850"/>
      <c r="AS17" s="840"/>
      <c r="AT17" s="841"/>
      <c r="AU17" s="840"/>
      <c r="AV17" s="839">
        <f t="shared" si="0"/>
        <v>988</v>
      </c>
      <c r="AW17" s="934">
        <f t="shared" si="1"/>
        <v>1416</v>
      </c>
      <c r="AX17" s="841"/>
      <c r="AY17" s="840"/>
      <c r="AZ17" s="844">
        <f t="shared" si="2"/>
        <v>988</v>
      </c>
      <c r="BA17" s="937">
        <f t="shared" si="3"/>
        <v>1416</v>
      </c>
    </row>
    <row r="18" spans="1:53" ht="16.5">
      <c r="A18" s="845" t="s">
        <v>251</v>
      </c>
      <c r="B18" s="846"/>
      <c r="C18" s="840"/>
      <c r="D18" s="841"/>
      <c r="E18" s="840"/>
      <c r="F18" s="841"/>
      <c r="G18" s="840"/>
      <c r="H18" s="841"/>
      <c r="I18" s="840"/>
      <c r="J18" s="841"/>
      <c r="K18" s="840"/>
      <c r="L18" s="841"/>
      <c r="M18" s="840"/>
      <c r="N18" s="841"/>
      <c r="O18" s="840"/>
      <c r="P18" s="841"/>
      <c r="Q18" s="840"/>
      <c r="R18" s="841"/>
      <c r="S18" s="840"/>
      <c r="T18" s="841"/>
      <c r="U18" s="840"/>
      <c r="V18" s="841"/>
      <c r="W18" s="840"/>
      <c r="X18" s="841"/>
      <c r="Y18" s="840"/>
      <c r="Z18" s="847"/>
      <c r="AA18" s="840"/>
      <c r="AB18" s="841"/>
      <c r="AC18" s="840"/>
      <c r="AD18" s="841"/>
      <c r="AE18" s="840"/>
      <c r="AF18" s="841"/>
      <c r="AG18" s="840"/>
      <c r="AH18" s="841"/>
      <c r="AI18" s="840"/>
      <c r="AJ18" s="841"/>
      <c r="AK18" s="840"/>
      <c r="AL18" s="848"/>
      <c r="AM18" s="840"/>
      <c r="AN18" s="849"/>
      <c r="AO18" s="843"/>
      <c r="AP18" s="841"/>
      <c r="AQ18" s="840"/>
      <c r="AR18" s="850"/>
      <c r="AS18" s="840"/>
      <c r="AT18" s="841"/>
      <c r="AU18" s="840"/>
      <c r="AV18" s="839">
        <f t="shared" si="0"/>
        <v>0</v>
      </c>
      <c r="AW18" s="934">
        <f t="shared" si="1"/>
        <v>0</v>
      </c>
      <c r="AX18" s="841"/>
      <c r="AY18" s="840"/>
      <c r="AZ18" s="844">
        <f t="shared" si="2"/>
        <v>0</v>
      </c>
      <c r="BA18" s="937">
        <f t="shared" si="3"/>
        <v>0</v>
      </c>
    </row>
    <row r="19" spans="1:53" ht="16.5">
      <c r="A19" s="845" t="s">
        <v>252</v>
      </c>
      <c r="B19" s="846">
        <v>143</v>
      </c>
      <c r="C19" s="840">
        <v>876</v>
      </c>
      <c r="D19" s="841"/>
      <c r="E19" s="840"/>
      <c r="F19" s="841"/>
      <c r="G19" s="840"/>
      <c r="H19" s="841"/>
      <c r="I19" s="840"/>
      <c r="J19" s="841"/>
      <c r="K19" s="840">
        <v>145</v>
      </c>
      <c r="L19" s="841"/>
      <c r="M19" s="840"/>
      <c r="N19" s="841"/>
      <c r="O19" s="840"/>
      <c r="P19" s="841"/>
      <c r="Q19" s="840"/>
      <c r="R19" s="841">
        <v>227</v>
      </c>
      <c r="S19" s="840">
        <v>1176</v>
      </c>
      <c r="T19" s="841"/>
      <c r="U19" s="840"/>
      <c r="V19" s="841"/>
      <c r="W19" s="840"/>
      <c r="X19" s="841"/>
      <c r="Y19" s="840"/>
      <c r="Z19" s="847"/>
      <c r="AA19" s="840"/>
      <c r="AB19" s="841"/>
      <c r="AC19" s="840"/>
      <c r="AD19" s="841"/>
      <c r="AE19" s="840"/>
      <c r="AF19" s="841">
        <v>1125</v>
      </c>
      <c r="AG19" s="840">
        <v>3375</v>
      </c>
      <c r="AH19" s="841"/>
      <c r="AI19" s="840"/>
      <c r="AJ19" s="841"/>
      <c r="AK19" s="840"/>
      <c r="AL19" s="848"/>
      <c r="AM19" s="840"/>
      <c r="AN19" s="849"/>
      <c r="AO19" s="843"/>
      <c r="AP19" s="841"/>
      <c r="AQ19" s="840"/>
      <c r="AR19" s="850"/>
      <c r="AS19" s="840"/>
      <c r="AT19" s="841"/>
      <c r="AU19" s="840"/>
      <c r="AV19" s="839">
        <f t="shared" si="0"/>
        <v>1495</v>
      </c>
      <c r="AW19" s="934">
        <f t="shared" si="1"/>
        <v>5572</v>
      </c>
      <c r="AX19" s="841"/>
      <c r="AY19" s="840"/>
      <c r="AZ19" s="844">
        <f t="shared" si="2"/>
        <v>1495</v>
      </c>
      <c r="BA19" s="937">
        <f t="shared" si="3"/>
        <v>5572</v>
      </c>
    </row>
    <row r="20" spans="1:53" ht="16.5">
      <c r="A20" s="845" t="s">
        <v>253</v>
      </c>
      <c r="B20" s="846"/>
      <c r="C20" s="840"/>
      <c r="D20" s="841">
        <v>38</v>
      </c>
      <c r="E20" s="840">
        <v>88</v>
      </c>
      <c r="F20" s="841"/>
      <c r="G20" s="840"/>
      <c r="H20" s="841">
        <v>221</v>
      </c>
      <c r="I20" s="840">
        <v>665</v>
      </c>
      <c r="J20" s="841"/>
      <c r="K20" s="840"/>
      <c r="L20" s="841"/>
      <c r="M20" s="840"/>
      <c r="N20" s="841">
        <v>12</v>
      </c>
      <c r="O20" s="840">
        <v>27</v>
      </c>
      <c r="P20" s="841">
        <v>175</v>
      </c>
      <c r="Q20" s="840">
        <v>525</v>
      </c>
      <c r="R20" s="841"/>
      <c r="S20" s="840"/>
      <c r="T20" s="841">
        <v>27</v>
      </c>
      <c r="U20" s="840">
        <v>1554</v>
      </c>
      <c r="V20" s="841">
        <v>-126</v>
      </c>
      <c r="W20" s="840">
        <v>1694</v>
      </c>
      <c r="X20" s="841"/>
      <c r="Y20" s="840"/>
      <c r="Z20" s="847">
        <v>261</v>
      </c>
      <c r="AA20" s="840">
        <v>786</v>
      </c>
      <c r="AB20" s="841">
        <v>67</v>
      </c>
      <c r="AC20" s="840">
        <v>117</v>
      </c>
      <c r="AD20" s="851"/>
      <c r="AE20" s="840"/>
      <c r="AF20" s="841"/>
      <c r="AG20" s="840"/>
      <c r="AH20" s="852">
        <v>165</v>
      </c>
      <c r="AI20" s="840">
        <v>526</v>
      </c>
      <c r="AJ20" s="841">
        <v>845</v>
      </c>
      <c r="AK20" s="840">
        <v>1545</v>
      </c>
      <c r="AL20" s="848"/>
      <c r="AM20" s="840"/>
      <c r="AN20" s="849"/>
      <c r="AO20" s="843">
        <v>1719</v>
      </c>
      <c r="AP20" s="841"/>
      <c r="AQ20" s="840"/>
      <c r="AR20" s="850"/>
      <c r="AS20" s="840"/>
      <c r="AT20" s="841">
        <v>150</v>
      </c>
      <c r="AU20" s="840">
        <v>384</v>
      </c>
      <c r="AV20" s="839">
        <f t="shared" si="0"/>
        <v>1835</v>
      </c>
      <c r="AW20" s="934">
        <f t="shared" si="1"/>
        <v>9630</v>
      </c>
      <c r="AX20" s="841"/>
      <c r="AY20" s="840"/>
      <c r="AZ20" s="844">
        <f t="shared" si="2"/>
        <v>1835</v>
      </c>
      <c r="BA20" s="937">
        <f t="shared" si="3"/>
        <v>9630</v>
      </c>
    </row>
    <row r="21" spans="1:53" ht="17.25">
      <c r="A21" s="845" t="s">
        <v>254</v>
      </c>
      <c r="B21" s="846"/>
      <c r="C21" s="840"/>
      <c r="D21" s="841"/>
      <c r="E21" s="840">
        <v>105</v>
      </c>
      <c r="F21" s="841"/>
      <c r="G21" s="840"/>
      <c r="H21" s="841">
        <v>8</v>
      </c>
      <c r="I21" s="840">
        <v>89</v>
      </c>
      <c r="J21" s="841"/>
      <c r="K21" s="840"/>
      <c r="L21" s="841"/>
      <c r="M21" s="840"/>
      <c r="N21" s="841">
        <v>1307</v>
      </c>
      <c r="O21" s="840">
        <v>1943</v>
      </c>
      <c r="P21" s="841">
        <v>48</v>
      </c>
      <c r="Q21" s="840">
        <v>163</v>
      </c>
      <c r="R21" s="841">
        <v>38</v>
      </c>
      <c r="S21" s="840">
        <v>213</v>
      </c>
      <c r="T21" s="841"/>
      <c r="U21" s="840"/>
      <c r="V21" s="841"/>
      <c r="W21" s="840"/>
      <c r="X21" s="841"/>
      <c r="Y21" s="840"/>
      <c r="Z21" s="847"/>
      <c r="AA21" s="840"/>
      <c r="AB21" s="841"/>
      <c r="AC21" s="840"/>
      <c r="AD21" s="841">
        <v>123</v>
      </c>
      <c r="AE21" s="840">
        <v>1196</v>
      </c>
      <c r="AF21" s="841">
        <v>588</v>
      </c>
      <c r="AG21" s="840">
        <v>1364</v>
      </c>
      <c r="AH21" s="853">
        <v>262</v>
      </c>
      <c r="AI21" s="840">
        <v>888</v>
      </c>
      <c r="AJ21" s="841"/>
      <c r="AK21" s="840"/>
      <c r="AL21" s="848"/>
      <c r="AM21" s="840"/>
      <c r="AN21" s="849">
        <v>871</v>
      </c>
      <c r="AO21" s="843">
        <v>25</v>
      </c>
      <c r="AP21" s="841"/>
      <c r="AQ21" s="840"/>
      <c r="AR21" s="850"/>
      <c r="AS21" s="840"/>
      <c r="AT21" s="841"/>
      <c r="AU21" s="840">
        <v>4</v>
      </c>
      <c r="AV21" s="839">
        <f t="shared" si="0"/>
        <v>3245</v>
      </c>
      <c r="AW21" s="934">
        <f t="shared" si="1"/>
        <v>5990</v>
      </c>
      <c r="AX21" s="850"/>
      <c r="AY21" s="840"/>
      <c r="AZ21" s="844">
        <f t="shared" si="2"/>
        <v>3245</v>
      </c>
      <c r="BA21" s="937">
        <f t="shared" si="3"/>
        <v>5990</v>
      </c>
    </row>
    <row r="22" spans="1:53" ht="16.5">
      <c r="A22" s="845" t="s">
        <v>255</v>
      </c>
      <c r="B22" s="846">
        <v>743624</v>
      </c>
      <c r="C22" s="840">
        <v>1731220</v>
      </c>
      <c r="D22" s="841">
        <v>50210</v>
      </c>
      <c r="E22" s="840">
        <v>158708</v>
      </c>
      <c r="F22" s="841"/>
      <c r="G22" s="840"/>
      <c r="H22" s="841">
        <v>665115</v>
      </c>
      <c r="I22" s="840">
        <v>1230556</v>
      </c>
      <c r="J22" s="841">
        <v>389584</v>
      </c>
      <c r="K22" s="840">
        <v>961653</v>
      </c>
      <c r="L22" s="841">
        <v>106974</v>
      </c>
      <c r="M22" s="840">
        <v>225979</v>
      </c>
      <c r="N22" s="841">
        <v>1417</v>
      </c>
      <c r="O22" s="840">
        <v>2858</v>
      </c>
      <c r="P22" s="841">
        <v>194317</v>
      </c>
      <c r="Q22" s="840">
        <v>445951</v>
      </c>
      <c r="R22" s="841">
        <v>64840</v>
      </c>
      <c r="S22" s="840">
        <v>155266</v>
      </c>
      <c r="T22" s="841">
        <v>8383</v>
      </c>
      <c r="U22" s="840">
        <v>133495</v>
      </c>
      <c r="V22" s="841">
        <v>3632740</v>
      </c>
      <c r="W22" s="840">
        <v>9669607</v>
      </c>
      <c r="X22" s="841">
        <v>2500442</v>
      </c>
      <c r="Y22" s="840">
        <v>5768859</v>
      </c>
      <c r="Z22" s="847">
        <v>47458</v>
      </c>
      <c r="AA22" s="840">
        <v>152547</v>
      </c>
      <c r="AB22" s="841">
        <v>281795</v>
      </c>
      <c r="AC22" s="840">
        <v>600268</v>
      </c>
      <c r="AD22" s="841">
        <v>460529</v>
      </c>
      <c r="AE22" s="840">
        <v>796258</v>
      </c>
      <c r="AF22" s="841">
        <v>861691</v>
      </c>
      <c r="AG22" s="840">
        <v>2123843</v>
      </c>
      <c r="AH22" s="841">
        <v>168207</v>
      </c>
      <c r="AI22" s="840">
        <v>498606</v>
      </c>
      <c r="AJ22" s="841">
        <v>78010</v>
      </c>
      <c r="AK22" s="840">
        <v>492660</v>
      </c>
      <c r="AL22" s="848"/>
      <c r="AM22" s="840"/>
      <c r="AN22" s="849">
        <v>82063</v>
      </c>
      <c r="AO22" s="843">
        <v>183836</v>
      </c>
      <c r="AP22" s="841">
        <v>69821</v>
      </c>
      <c r="AQ22" s="840">
        <v>159535</v>
      </c>
      <c r="AR22" s="850">
        <v>31943</v>
      </c>
      <c r="AS22" s="840">
        <v>36707</v>
      </c>
      <c r="AT22" s="841">
        <v>948523</v>
      </c>
      <c r="AU22" s="840">
        <v>2823283</v>
      </c>
      <c r="AV22" s="839">
        <f t="shared" si="0"/>
        <v>11387686</v>
      </c>
      <c r="AW22" s="934">
        <f t="shared" si="1"/>
        <v>28351695</v>
      </c>
      <c r="AX22" s="850">
        <v>941214</v>
      </c>
      <c r="AY22" s="840">
        <v>1808106</v>
      </c>
      <c r="AZ22" s="844">
        <f t="shared" si="2"/>
        <v>12328900</v>
      </c>
      <c r="BA22" s="937">
        <f t="shared" si="3"/>
        <v>30159801</v>
      </c>
    </row>
    <row r="23" spans="1:53" ht="16.5">
      <c r="A23" s="845" t="s">
        <v>256</v>
      </c>
      <c r="B23" s="846">
        <v>34079</v>
      </c>
      <c r="C23" s="840">
        <v>88023</v>
      </c>
      <c r="D23" s="841">
        <v>5334</v>
      </c>
      <c r="E23" s="840">
        <v>21849</v>
      </c>
      <c r="F23" s="841"/>
      <c r="G23" s="840"/>
      <c r="H23" s="841">
        <v>16755</v>
      </c>
      <c r="I23" s="840">
        <v>51507</v>
      </c>
      <c r="J23" s="841">
        <v>11576</v>
      </c>
      <c r="K23" s="840">
        <v>32043</v>
      </c>
      <c r="L23" s="841">
        <v>14660</v>
      </c>
      <c r="M23" s="840">
        <v>40206</v>
      </c>
      <c r="N23" s="841">
        <v>9167</v>
      </c>
      <c r="O23" s="840">
        <v>13315</v>
      </c>
      <c r="P23" s="841">
        <v>7084</v>
      </c>
      <c r="Q23" s="840">
        <v>19329</v>
      </c>
      <c r="R23" s="841">
        <v>10087</v>
      </c>
      <c r="S23" s="840">
        <v>38015</v>
      </c>
      <c r="T23" s="841">
        <v>7156</v>
      </c>
      <c r="U23" s="840">
        <v>18390</v>
      </c>
      <c r="V23" s="841">
        <v>45559</v>
      </c>
      <c r="W23" s="840">
        <v>123900</v>
      </c>
      <c r="X23" s="841">
        <v>52726</v>
      </c>
      <c r="Y23" s="840">
        <v>167244</v>
      </c>
      <c r="Z23" s="847">
        <v>5937</v>
      </c>
      <c r="AA23" s="840">
        <v>15770</v>
      </c>
      <c r="AB23" s="841">
        <v>4893</v>
      </c>
      <c r="AC23" s="840">
        <v>17964</v>
      </c>
      <c r="AD23" s="841">
        <v>16935</v>
      </c>
      <c r="AE23" s="840">
        <v>59079</v>
      </c>
      <c r="AF23" s="851">
        <v>43034</v>
      </c>
      <c r="AG23" s="840">
        <v>127274</v>
      </c>
      <c r="AH23" s="841">
        <v>16131</v>
      </c>
      <c r="AI23" s="840">
        <v>38445</v>
      </c>
      <c r="AJ23" s="841">
        <v>17305</v>
      </c>
      <c r="AK23" s="840">
        <v>48805</v>
      </c>
      <c r="AL23" s="848"/>
      <c r="AM23" s="840"/>
      <c r="AN23" s="849">
        <v>17022</v>
      </c>
      <c r="AO23" s="843">
        <v>57561</v>
      </c>
      <c r="AP23" s="841">
        <v>2245</v>
      </c>
      <c r="AQ23" s="840">
        <v>5875</v>
      </c>
      <c r="AR23" s="850">
        <v>785</v>
      </c>
      <c r="AS23" s="840">
        <v>2152</v>
      </c>
      <c r="AT23" s="841">
        <v>37657</v>
      </c>
      <c r="AU23" s="840">
        <v>99749</v>
      </c>
      <c r="AV23" s="839">
        <f t="shared" si="0"/>
        <v>376127</v>
      </c>
      <c r="AW23" s="934">
        <f t="shared" si="1"/>
        <v>1086495</v>
      </c>
      <c r="AX23" s="850">
        <v>376479</v>
      </c>
      <c r="AY23" s="840">
        <v>626328</v>
      </c>
      <c r="AZ23" s="844">
        <f t="shared" si="2"/>
        <v>752606</v>
      </c>
      <c r="BA23" s="937">
        <f t="shared" si="3"/>
        <v>1712823</v>
      </c>
    </row>
    <row r="24" spans="1:53" ht="16.5">
      <c r="A24" s="845" t="s">
        <v>257</v>
      </c>
      <c r="B24" s="846">
        <v>403</v>
      </c>
      <c r="C24" s="840">
        <v>825</v>
      </c>
      <c r="D24" s="841"/>
      <c r="E24" s="840"/>
      <c r="F24" s="841"/>
      <c r="G24" s="840"/>
      <c r="H24" s="841"/>
      <c r="I24" s="840"/>
      <c r="J24" s="841">
        <v>80408</v>
      </c>
      <c r="K24" s="840">
        <v>186646</v>
      </c>
      <c r="L24" s="841"/>
      <c r="M24" s="840"/>
      <c r="N24" s="841">
        <v>1399</v>
      </c>
      <c r="O24" s="840">
        <v>2133</v>
      </c>
      <c r="P24" s="841"/>
      <c r="Q24" s="840"/>
      <c r="R24" s="841">
        <v>244</v>
      </c>
      <c r="S24" s="840">
        <v>28132</v>
      </c>
      <c r="T24" s="841"/>
      <c r="U24" s="840"/>
      <c r="V24" s="841"/>
      <c r="W24" s="840"/>
      <c r="X24" s="841"/>
      <c r="Y24" s="840"/>
      <c r="Z24" s="847"/>
      <c r="AA24" s="840"/>
      <c r="AB24" s="841"/>
      <c r="AC24" s="840"/>
      <c r="AD24" s="841"/>
      <c r="AE24" s="840"/>
      <c r="AF24" s="841">
        <v>51400</v>
      </c>
      <c r="AG24" s="840">
        <v>122983</v>
      </c>
      <c r="AH24" s="841">
        <v>23621</v>
      </c>
      <c r="AI24" s="840">
        <v>48248</v>
      </c>
      <c r="AJ24" s="841"/>
      <c r="AK24" s="840"/>
      <c r="AL24" s="848"/>
      <c r="AM24" s="840"/>
      <c r="AN24" s="849">
        <v>4169</v>
      </c>
      <c r="AO24" s="843">
        <v>4881</v>
      </c>
      <c r="AP24" s="841"/>
      <c r="AQ24" s="840"/>
      <c r="AR24" s="850"/>
      <c r="AS24" s="840"/>
      <c r="AT24" s="841"/>
      <c r="AU24" s="840"/>
      <c r="AV24" s="839">
        <f t="shared" si="0"/>
        <v>161644</v>
      </c>
      <c r="AW24" s="934">
        <f t="shared" si="1"/>
        <v>393848</v>
      </c>
      <c r="AX24" s="850"/>
      <c r="AY24" s="840"/>
      <c r="AZ24" s="844">
        <f t="shared" si="2"/>
        <v>161644</v>
      </c>
      <c r="BA24" s="937">
        <f t="shared" si="3"/>
        <v>393848</v>
      </c>
    </row>
    <row r="25" spans="1:53" ht="16.5">
      <c r="A25" s="845" t="s">
        <v>258</v>
      </c>
      <c r="B25" s="846">
        <v>165632</v>
      </c>
      <c r="C25" s="840">
        <v>505756</v>
      </c>
      <c r="D25" s="841">
        <v>68749</v>
      </c>
      <c r="E25" s="840">
        <v>202938</v>
      </c>
      <c r="F25" s="841"/>
      <c r="G25" s="840"/>
      <c r="H25" s="841">
        <v>206327</v>
      </c>
      <c r="I25" s="840">
        <v>542603</v>
      </c>
      <c r="J25" s="841">
        <v>156807</v>
      </c>
      <c r="K25" s="840">
        <v>412815</v>
      </c>
      <c r="L25" s="841">
        <v>108714</v>
      </c>
      <c r="M25" s="840">
        <v>310136</v>
      </c>
      <c r="N25" s="841">
        <v>51561</v>
      </c>
      <c r="O25" s="840">
        <v>86222</v>
      </c>
      <c r="P25" s="841">
        <v>56496</v>
      </c>
      <c r="Q25" s="840">
        <v>169599</v>
      </c>
      <c r="R25" s="841"/>
      <c r="S25" s="840"/>
      <c r="T25" s="841">
        <v>44263</v>
      </c>
      <c r="U25" s="840">
        <v>85369</v>
      </c>
      <c r="V25" s="841">
        <v>347675</v>
      </c>
      <c r="W25" s="840">
        <v>913680</v>
      </c>
      <c r="X25" s="841">
        <v>233065</v>
      </c>
      <c r="Y25" s="840">
        <v>693471</v>
      </c>
      <c r="Z25" s="847">
        <v>40767</v>
      </c>
      <c r="AA25" s="840">
        <v>122257</v>
      </c>
      <c r="AB25" s="841">
        <v>126977</v>
      </c>
      <c r="AC25" s="840">
        <v>352760</v>
      </c>
      <c r="AD25" s="851">
        <v>82952</v>
      </c>
      <c r="AE25" s="840">
        <v>291167</v>
      </c>
      <c r="AF25" s="841">
        <v>175609</v>
      </c>
      <c r="AG25" s="840">
        <v>511253</v>
      </c>
      <c r="AH25" s="841">
        <v>174325</v>
      </c>
      <c r="AI25" s="840">
        <v>464230</v>
      </c>
      <c r="AJ25" s="841">
        <v>70321</v>
      </c>
      <c r="AK25" s="840">
        <v>229847</v>
      </c>
      <c r="AL25" s="848"/>
      <c r="AM25" s="840"/>
      <c r="AN25" s="849">
        <v>258726</v>
      </c>
      <c r="AO25" s="843">
        <v>767400</v>
      </c>
      <c r="AP25" s="841">
        <v>29502</v>
      </c>
      <c r="AQ25" s="840">
        <v>86090</v>
      </c>
      <c r="AR25" s="850">
        <v>40768</v>
      </c>
      <c r="AS25" s="840">
        <v>129661</v>
      </c>
      <c r="AT25" s="841">
        <v>159419</v>
      </c>
      <c r="AU25" s="840">
        <v>426481</v>
      </c>
      <c r="AV25" s="839">
        <f t="shared" si="0"/>
        <v>2598655</v>
      </c>
      <c r="AW25" s="934">
        <f t="shared" si="1"/>
        <v>7303735</v>
      </c>
      <c r="AX25" s="841"/>
      <c r="AY25" s="840"/>
      <c r="AZ25" s="844">
        <f t="shared" si="2"/>
        <v>2598655</v>
      </c>
      <c r="BA25" s="937">
        <f t="shared" si="3"/>
        <v>7303735</v>
      </c>
    </row>
    <row r="26" spans="1:53" ht="16.5">
      <c r="A26" s="845" t="s">
        <v>259</v>
      </c>
      <c r="B26" s="846"/>
      <c r="C26" s="840"/>
      <c r="D26" s="841">
        <v>19</v>
      </c>
      <c r="E26" s="840">
        <v>19</v>
      </c>
      <c r="F26" s="841"/>
      <c r="G26" s="840"/>
      <c r="H26" s="841"/>
      <c r="I26" s="840"/>
      <c r="J26" s="841"/>
      <c r="K26" s="840"/>
      <c r="L26" s="841"/>
      <c r="M26" s="840"/>
      <c r="N26" s="841"/>
      <c r="O26" s="840"/>
      <c r="P26" s="841">
        <v>5780</v>
      </c>
      <c r="Q26" s="840">
        <v>14306</v>
      </c>
      <c r="R26" s="841">
        <v>74929</v>
      </c>
      <c r="S26" s="840">
        <v>115386</v>
      </c>
      <c r="T26" s="841">
        <v>3352</v>
      </c>
      <c r="U26" s="840">
        <v>4642</v>
      </c>
      <c r="V26" s="841">
        <v>47154</v>
      </c>
      <c r="W26" s="840">
        <v>56549</v>
      </c>
      <c r="X26" s="841">
        <v>17322</v>
      </c>
      <c r="Y26" s="840">
        <v>28912</v>
      </c>
      <c r="Z26" s="847"/>
      <c r="AA26" s="840"/>
      <c r="AB26" s="841"/>
      <c r="AC26" s="840"/>
      <c r="AD26" s="841">
        <v>15648</v>
      </c>
      <c r="AE26" s="840">
        <v>46755</v>
      </c>
      <c r="AF26" s="841">
        <f>22258+9701</f>
        <v>31959</v>
      </c>
      <c r="AG26" s="840">
        <f>89609+27912</f>
        <v>117521</v>
      </c>
      <c r="AH26" s="841"/>
      <c r="AI26" s="840"/>
      <c r="AJ26" s="841"/>
      <c r="AK26" s="840"/>
      <c r="AL26" s="848"/>
      <c r="AM26" s="840"/>
      <c r="AN26" s="849">
        <v>41485</v>
      </c>
      <c r="AO26" s="843">
        <v>153470</v>
      </c>
      <c r="AP26" s="841">
        <v>1068</v>
      </c>
      <c r="AQ26" s="840">
        <v>1778</v>
      </c>
      <c r="AR26" s="850">
        <v>3221</v>
      </c>
      <c r="AS26" s="840">
        <v>33982</v>
      </c>
      <c r="AT26" s="841"/>
      <c r="AU26" s="840"/>
      <c r="AV26" s="839">
        <f t="shared" si="0"/>
        <v>241937</v>
      </c>
      <c r="AW26" s="934">
        <f t="shared" si="1"/>
        <v>573320</v>
      </c>
      <c r="AX26" s="850">
        <v>6851939</v>
      </c>
      <c r="AY26" s="840">
        <v>19087888</v>
      </c>
      <c r="AZ26" s="844">
        <f t="shared" si="2"/>
        <v>7093876</v>
      </c>
      <c r="BA26" s="937">
        <f t="shared" si="3"/>
        <v>19661208</v>
      </c>
    </row>
    <row r="27" spans="1:53" ht="16.5">
      <c r="A27" s="845" t="s">
        <v>260</v>
      </c>
      <c r="B27" s="846">
        <v>69840</v>
      </c>
      <c r="C27" s="840">
        <v>209941</v>
      </c>
      <c r="D27" s="841">
        <v>10246</v>
      </c>
      <c r="E27" s="840">
        <v>36281</v>
      </c>
      <c r="F27" s="841"/>
      <c r="G27" s="840"/>
      <c r="H27" s="841">
        <v>105152</v>
      </c>
      <c r="I27" s="840">
        <v>283238</v>
      </c>
      <c r="J27" s="841"/>
      <c r="K27" s="840"/>
      <c r="L27" s="841"/>
      <c r="M27" s="840"/>
      <c r="N27" s="841">
        <v>17826</v>
      </c>
      <c r="O27" s="840">
        <v>35360</v>
      </c>
      <c r="P27" s="841">
        <v>7390</v>
      </c>
      <c r="Q27" s="840">
        <v>25005</v>
      </c>
      <c r="R27" s="841"/>
      <c r="S27" s="840"/>
      <c r="T27" s="841"/>
      <c r="U27" s="840"/>
      <c r="V27" s="841">
        <v>298470</v>
      </c>
      <c r="W27" s="840">
        <v>647655</v>
      </c>
      <c r="X27" s="841"/>
      <c r="Y27" s="840"/>
      <c r="Z27" s="847">
        <v>4634</v>
      </c>
      <c r="AA27" s="840">
        <v>10262</v>
      </c>
      <c r="AB27" s="841">
        <v>57329</v>
      </c>
      <c r="AC27" s="840">
        <v>128598</v>
      </c>
      <c r="AD27" s="841">
        <v>103157</v>
      </c>
      <c r="AE27" s="840">
        <v>294192</v>
      </c>
      <c r="AF27" s="841">
        <v>186893</v>
      </c>
      <c r="AG27" s="840">
        <v>699745</v>
      </c>
      <c r="AH27" s="841"/>
      <c r="AI27" s="840"/>
      <c r="AJ27" s="841">
        <v>10507</v>
      </c>
      <c r="AK27" s="840">
        <v>24136</v>
      </c>
      <c r="AL27" s="848"/>
      <c r="AM27" s="840"/>
      <c r="AN27" s="849">
        <v>309667</v>
      </c>
      <c r="AO27" s="843">
        <v>745697</v>
      </c>
      <c r="AP27" s="841"/>
      <c r="AQ27" s="840"/>
      <c r="AR27" s="850">
        <v>12929</v>
      </c>
      <c r="AS27" s="840">
        <v>73371</v>
      </c>
      <c r="AT27" s="841">
        <v>88848</v>
      </c>
      <c r="AU27" s="840">
        <v>354154</v>
      </c>
      <c r="AV27" s="839">
        <f t="shared" si="0"/>
        <v>1282888</v>
      </c>
      <c r="AW27" s="934">
        <f t="shared" si="1"/>
        <v>3567635</v>
      </c>
      <c r="AX27" s="850">
        <v>283835</v>
      </c>
      <c r="AY27" s="840">
        <v>1351106</v>
      </c>
      <c r="AZ27" s="844">
        <f t="shared" si="2"/>
        <v>1566723</v>
      </c>
      <c r="BA27" s="937">
        <f t="shared" si="3"/>
        <v>4918741</v>
      </c>
    </row>
    <row r="28" spans="1:53" ht="16.5">
      <c r="A28" s="845" t="s">
        <v>261</v>
      </c>
      <c r="B28" s="846">
        <v>85023</v>
      </c>
      <c r="C28" s="840">
        <v>248637</v>
      </c>
      <c r="D28" s="841">
        <v>75854</v>
      </c>
      <c r="E28" s="840">
        <v>213620</v>
      </c>
      <c r="F28" s="841"/>
      <c r="G28" s="840"/>
      <c r="H28" s="841">
        <v>95964</v>
      </c>
      <c r="I28" s="840">
        <v>280954</v>
      </c>
      <c r="J28" s="841">
        <v>27597</v>
      </c>
      <c r="K28" s="840">
        <v>81874</v>
      </c>
      <c r="L28" s="841">
        <v>35257</v>
      </c>
      <c r="M28" s="840">
        <v>40206</v>
      </c>
      <c r="N28" s="841">
        <v>82455</v>
      </c>
      <c r="O28" s="840">
        <v>127108</v>
      </c>
      <c r="P28" s="841">
        <v>75704</v>
      </c>
      <c r="Q28" s="840">
        <v>223242</v>
      </c>
      <c r="R28" s="841">
        <v>33995</v>
      </c>
      <c r="S28" s="840">
        <v>103742</v>
      </c>
      <c r="T28" s="841">
        <v>62772</v>
      </c>
      <c r="U28" s="840">
        <v>185342</v>
      </c>
      <c r="V28" s="841">
        <v>138766</v>
      </c>
      <c r="W28" s="840">
        <v>377826</v>
      </c>
      <c r="X28" s="841">
        <v>141808</v>
      </c>
      <c r="Y28" s="840">
        <v>450421</v>
      </c>
      <c r="Z28" s="847">
        <v>22584</v>
      </c>
      <c r="AA28" s="840">
        <v>70791</v>
      </c>
      <c r="AB28" s="841">
        <v>61382</v>
      </c>
      <c r="AC28" s="840">
        <v>185626</v>
      </c>
      <c r="AD28" s="841">
        <v>107245</v>
      </c>
      <c r="AE28" s="840">
        <v>316845</v>
      </c>
      <c r="AF28" s="841">
        <v>220672</v>
      </c>
      <c r="AG28" s="840">
        <v>638552</v>
      </c>
      <c r="AH28" s="841">
        <v>113913</v>
      </c>
      <c r="AI28" s="840">
        <v>332961</v>
      </c>
      <c r="AJ28" s="841">
        <v>82798</v>
      </c>
      <c r="AK28" s="840">
        <v>231523</v>
      </c>
      <c r="AL28" s="848"/>
      <c r="AM28" s="840"/>
      <c r="AN28" s="849">
        <v>206281</v>
      </c>
      <c r="AO28" s="843">
        <v>785868</v>
      </c>
      <c r="AP28" s="841">
        <v>44988</v>
      </c>
      <c r="AQ28" s="840">
        <v>126625</v>
      </c>
      <c r="AR28" s="850">
        <v>26887</v>
      </c>
      <c r="AS28" s="840">
        <v>77015</v>
      </c>
      <c r="AT28" s="841">
        <v>130503</v>
      </c>
      <c r="AU28" s="840">
        <v>392115</v>
      </c>
      <c r="AV28" s="839">
        <f t="shared" si="0"/>
        <v>1872448</v>
      </c>
      <c r="AW28" s="934">
        <f t="shared" si="1"/>
        <v>5490893</v>
      </c>
      <c r="AX28" s="850">
        <v>921701</v>
      </c>
      <c r="AY28" s="840">
        <v>2984127</v>
      </c>
      <c r="AZ28" s="844">
        <f t="shared" si="2"/>
        <v>2794149</v>
      </c>
      <c r="BA28" s="937">
        <f t="shared" si="3"/>
        <v>8475020</v>
      </c>
    </row>
    <row r="29" spans="1:53" ht="16.5">
      <c r="A29" s="845" t="s">
        <v>262</v>
      </c>
      <c r="B29" s="846">
        <v>-17</v>
      </c>
      <c r="C29" s="840">
        <v>800</v>
      </c>
      <c r="D29" s="841"/>
      <c r="E29" s="840"/>
      <c r="F29" s="841"/>
      <c r="G29" s="840"/>
      <c r="H29" s="841"/>
      <c r="I29" s="840"/>
      <c r="J29" s="841"/>
      <c r="K29" s="840"/>
      <c r="L29" s="841"/>
      <c r="M29" s="840"/>
      <c r="N29" s="841">
        <v>195</v>
      </c>
      <c r="O29" s="840">
        <v>197</v>
      </c>
      <c r="P29" s="841"/>
      <c r="Q29" s="840"/>
      <c r="R29" s="841"/>
      <c r="S29" s="840"/>
      <c r="T29" s="841"/>
      <c r="U29" s="840"/>
      <c r="V29" s="841"/>
      <c r="W29" s="840"/>
      <c r="X29" s="841"/>
      <c r="Y29" s="840"/>
      <c r="Z29" s="847"/>
      <c r="AA29" s="840"/>
      <c r="AB29" s="841"/>
      <c r="AC29" s="840"/>
      <c r="AD29" s="841"/>
      <c r="AE29" s="840"/>
      <c r="AF29" s="841">
        <v>119</v>
      </c>
      <c r="AG29" s="840">
        <v>1468</v>
      </c>
      <c r="AH29" s="841"/>
      <c r="AI29" s="840"/>
      <c r="AJ29" s="841"/>
      <c r="AK29" s="840"/>
      <c r="AL29" s="848"/>
      <c r="AM29" s="840"/>
      <c r="AN29" s="849"/>
      <c r="AO29" s="843"/>
      <c r="AP29" s="841"/>
      <c r="AQ29" s="840"/>
      <c r="AR29" s="850"/>
      <c r="AS29" s="840"/>
      <c r="AT29" s="841"/>
      <c r="AU29" s="840"/>
      <c r="AV29" s="839">
        <f t="shared" si="0"/>
        <v>297</v>
      </c>
      <c r="AW29" s="934">
        <f t="shared" si="1"/>
        <v>2465</v>
      </c>
      <c r="AX29" s="850"/>
      <c r="AY29" s="840"/>
      <c r="AZ29" s="844">
        <f t="shared" si="2"/>
        <v>297</v>
      </c>
      <c r="BA29" s="937">
        <f t="shared" si="3"/>
        <v>2465</v>
      </c>
    </row>
    <row r="30" spans="1:53" ht="16.5">
      <c r="A30" s="845" t="s">
        <v>263</v>
      </c>
      <c r="B30" s="846">
        <v>6128</v>
      </c>
      <c r="C30" s="840">
        <v>5009</v>
      </c>
      <c r="D30" s="841"/>
      <c r="E30" s="840"/>
      <c r="F30" s="841"/>
      <c r="G30" s="840"/>
      <c r="H30" s="841"/>
      <c r="I30" s="840"/>
      <c r="J30" s="841"/>
      <c r="K30" s="840"/>
      <c r="L30" s="841"/>
      <c r="M30" s="840"/>
      <c r="N30" s="841"/>
      <c r="O30" s="840"/>
      <c r="P30" s="841"/>
      <c r="Q30" s="840"/>
      <c r="R30" s="841"/>
      <c r="S30" s="840"/>
      <c r="T30" s="841"/>
      <c r="U30" s="840"/>
      <c r="V30" s="841"/>
      <c r="W30" s="840"/>
      <c r="X30" s="841"/>
      <c r="Y30" s="840"/>
      <c r="Z30" s="847"/>
      <c r="AA30" s="840"/>
      <c r="AB30" s="841"/>
      <c r="AC30" s="840"/>
      <c r="AD30" s="841"/>
      <c r="AE30" s="840"/>
      <c r="AF30" s="841"/>
      <c r="AG30" s="840"/>
      <c r="AH30" s="841"/>
      <c r="AI30" s="840"/>
      <c r="AJ30" s="841"/>
      <c r="AK30" s="840"/>
      <c r="AL30" s="848"/>
      <c r="AM30" s="840"/>
      <c r="AN30" s="849"/>
      <c r="AO30" s="843"/>
      <c r="AP30" s="841"/>
      <c r="AQ30" s="840"/>
      <c r="AR30" s="850"/>
      <c r="AS30" s="840"/>
      <c r="AT30" s="841"/>
      <c r="AU30" s="840"/>
      <c r="AV30" s="839">
        <f t="shared" si="0"/>
        <v>6128</v>
      </c>
      <c r="AW30" s="934">
        <f t="shared" si="1"/>
        <v>5009</v>
      </c>
      <c r="AX30" s="850"/>
      <c r="AY30" s="840"/>
      <c r="AZ30" s="844">
        <f t="shared" si="2"/>
        <v>6128</v>
      </c>
      <c r="BA30" s="937">
        <f t="shared" si="3"/>
        <v>5009</v>
      </c>
    </row>
    <row r="31" spans="1:53" ht="16.5">
      <c r="A31" s="845" t="s">
        <v>264</v>
      </c>
      <c r="B31" s="846"/>
      <c r="C31" s="840"/>
      <c r="D31" s="841">
        <v>1082</v>
      </c>
      <c r="E31" s="840">
        <v>10692</v>
      </c>
      <c r="F31" s="841"/>
      <c r="G31" s="840"/>
      <c r="H31" s="841">
        <v>135954</v>
      </c>
      <c r="I31" s="840">
        <v>88199</v>
      </c>
      <c r="J31" s="841"/>
      <c r="K31" s="840"/>
      <c r="L31" s="841"/>
      <c r="M31" s="840"/>
      <c r="N31" s="841">
        <v>4246</v>
      </c>
      <c r="O31" s="840">
        <v>7094</v>
      </c>
      <c r="P31" s="841">
        <v>79651</v>
      </c>
      <c r="Q31" s="840">
        <v>250364</v>
      </c>
      <c r="R31" s="841">
        <v>386267</v>
      </c>
      <c r="S31" s="840">
        <v>902783</v>
      </c>
      <c r="T31" s="841"/>
      <c r="U31" s="840"/>
      <c r="V31" s="841">
        <v>2782639</v>
      </c>
      <c r="W31" s="840">
        <v>3716083</v>
      </c>
      <c r="X31" s="841">
        <v>52475</v>
      </c>
      <c r="Y31" s="840">
        <v>290118</v>
      </c>
      <c r="Z31" s="847">
        <v>32118</v>
      </c>
      <c r="AA31" s="840">
        <v>63778</v>
      </c>
      <c r="AB31" s="841"/>
      <c r="AC31" s="840"/>
      <c r="AD31" s="841">
        <v>47986</v>
      </c>
      <c r="AE31" s="840">
        <v>248156</v>
      </c>
      <c r="AF31" s="841"/>
      <c r="AG31" s="840"/>
      <c r="AH31" s="841">
        <v>104637</v>
      </c>
      <c r="AI31" s="840">
        <v>130600</v>
      </c>
      <c r="AJ31" s="841">
        <v>88657</v>
      </c>
      <c r="AK31" s="840">
        <v>179626</v>
      </c>
      <c r="AL31" s="848"/>
      <c r="AM31" s="840"/>
      <c r="AN31" s="849"/>
      <c r="AO31" s="843"/>
      <c r="AP31" s="841"/>
      <c r="AQ31" s="840"/>
      <c r="AR31" s="850">
        <v>29852</v>
      </c>
      <c r="AS31" s="840">
        <v>65457</v>
      </c>
      <c r="AT31" s="841">
        <f>41961+4115</f>
        <v>46076</v>
      </c>
      <c r="AU31" s="840">
        <f>66671+12698</f>
        <v>79369</v>
      </c>
      <c r="AV31" s="839">
        <f t="shared" si="0"/>
        <v>3791640</v>
      </c>
      <c r="AW31" s="934">
        <f t="shared" si="1"/>
        <v>6032319</v>
      </c>
      <c r="AX31" s="850"/>
      <c r="AY31" s="840"/>
      <c r="AZ31" s="844">
        <f t="shared" si="2"/>
        <v>3791640</v>
      </c>
      <c r="BA31" s="937">
        <f t="shared" si="3"/>
        <v>6032319</v>
      </c>
    </row>
    <row r="32" spans="1:53" ht="16.5">
      <c r="A32" s="845" t="s">
        <v>265</v>
      </c>
      <c r="B32" s="846"/>
      <c r="C32" s="840"/>
      <c r="D32" s="841">
        <v>14217</v>
      </c>
      <c r="E32" s="840">
        <v>43504</v>
      </c>
      <c r="F32" s="841"/>
      <c r="G32" s="840"/>
      <c r="H32" s="841"/>
      <c r="I32" s="840"/>
      <c r="J32" s="841"/>
      <c r="K32" s="840"/>
      <c r="L32" s="841"/>
      <c r="M32" s="840"/>
      <c r="N32" s="841"/>
      <c r="O32" s="840"/>
      <c r="P32" s="841">
        <v>44801</v>
      </c>
      <c r="Q32" s="840">
        <v>122731</v>
      </c>
      <c r="R32" s="841"/>
      <c r="S32" s="840"/>
      <c r="T32" s="841"/>
      <c r="U32" s="840"/>
      <c r="V32" s="841"/>
      <c r="W32" s="840"/>
      <c r="X32" s="841"/>
      <c r="Y32" s="840"/>
      <c r="Z32" s="847"/>
      <c r="AA32" s="840"/>
      <c r="AB32" s="841">
        <v>7493</v>
      </c>
      <c r="AC32" s="840">
        <v>22294</v>
      </c>
      <c r="AD32" s="841"/>
      <c r="AE32" s="840"/>
      <c r="AF32" s="841"/>
      <c r="AG32" s="840"/>
      <c r="AH32" s="841"/>
      <c r="AI32" s="840"/>
      <c r="AJ32" s="841">
        <v>60141</v>
      </c>
      <c r="AK32" s="840">
        <v>155403</v>
      </c>
      <c r="AL32" s="848"/>
      <c r="AM32" s="840"/>
      <c r="AN32" s="849"/>
      <c r="AO32" s="843"/>
      <c r="AP32" s="841"/>
      <c r="AQ32" s="840"/>
      <c r="AR32" s="850"/>
      <c r="AS32" s="840"/>
      <c r="AT32" s="841"/>
      <c r="AU32" s="840"/>
      <c r="AV32" s="839">
        <f t="shared" si="0"/>
        <v>126652</v>
      </c>
      <c r="AW32" s="934">
        <f t="shared" si="1"/>
        <v>343932</v>
      </c>
      <c r="AX32" s="850"/>
      <c r="AY32" s="840"/>
      <c r="AZ32" s="844">
        <f t="shared" si="2"/>
        <v>126652</v>
      </c>
      <c r="BA32" s="937">
        <f t="shared" si="3"/>
        <v>343932</v>
      </c>
    </row>
    <row r="33" spans="1:53" ht="16.5">
      <c r="A33" s="845" t="s">
        <v>266</v>
      </c>
      <c r="B33" s="846"/>
      <c r="C33" s="840"/>
      <c r="D33" s="841">
        <v>4659</v>
      </c>
      <c r="E33" s="840">
        <v>10614</v>
      </c>
      <c r="F33" s="841"/>
      <c r="G33" s="840"/>
      <c r="H33" s="841">
        <v>39900</v>
      </c>
      <c r="I33" s="840">
        <v>140692</v>
      </c>
      <c r="J33" s="841"/>
      <c r="K33" s="840"/>
      <c r="L33" s="841"/>
      <c r="M33" s="840"/>
      <c r="N33" s="841">
        <v>7660</v>
      </c>
      <c r="O33" s="840">
        <v>10147</v>
      </c>
      <c r="P33" s="841"/>
      <c r="Q33" s="840"/>
      <c r="R33" s="841"/>
      <c r="S33" s="840"/>
      <c r="T33" s="841"/>
      <c r="U33" s="840"/>
      <c r="V33" s="841">
        <v>204949</v>
      </c>
      <c r="W33" s="840">
        <v>570041</v>
      </c>
      <c r="X33" s="841">
        <v>42459</v>
      </c>
      <c r="Y33" s="840">
        <v>111665</v>
      </c>
      <c r="Z33" s="847"/>
      <c r="AA33" s="840"/>
      <c r="AB33" s="841"/>
      <c r="AC33" s="840"/>
      <c r="AD33" s="841"/>
      <c r="AE33" s="840"/>
      <c r="AF33" s="841"/>
      <c r="AG33" s="840"/>
      <c r="AH33" s="841">
        <v>20658</v>
      </c>
      <c r="AI33" s="840">
        <v>76831</v>
      </c>
      <c r="AJ33" s="841"/>
      <c r="AK33" s="840"/>
      <c r="AL33" s="848"/>
      <c r="AM33" s="840"/>
      <c r="AN33" s="849"/>
      <c r="AO33" s="843"/>
      <c r="AP33" s="841"/>
      <c r="AQ33" s="840"/>
      <c r="AR33" s="850"/>
      <c r="AS33" s="840"/>
      <c r="AT33" s="841"/>
      <c r="AU33" s="840"/>
      <c r="AV33" s="839">
        <f t="shared" si="0"/>
        <v>320285</v>
      </c>
      <c r="AW33" s="934">
        <f t="shared" si="1"/>
        <v>919990</v>
      </c>
      <c r="AX33" s="850"/>
      <c r="AY33" s="840"/>
      <c r="AZ33" s="844">
        <f t="shared" si="2"/>
        <v>320285</v>
      </c>
      <c r="BA33" s="937">
        <f t="shared" si="3"/>
        <v>919990</v>
      </c>
    </row>
    <row r="34" spans="1:53" ht="16.5">
      <c r="A34" s="845" t="s">
        <v>267</v>
      </c>
      <c r="B34" s="846">
        <v>25641</v>
      </c>
      <c r="C34" s="840">
        <v>70868</v>
      </c>
      <c r="D34" s="841">
        <v>1369</v>
      </c>
      <c r="E34" s="840">
        <v>4135</v>
      </c>
      <c r="F34" s="841"/>
      <c r="G34" s="840"/>
      <c r="H34" s="841">
        <v>32261</v>
      </c>
      <c r="I34" s="840">
        <v>83353</v>
      </c>
      <c r="J34" s="841">
        <v>7797</v>
      </c>
      <c r="K34" s="840">
        <v>19825</v>
      </c>
      <c r="L34" s="841"/>
      <c r="M34" s="840"/>
      <c r="N34" s="841">
        <v>11388</v>
      </c>
      <c r="O34" s="840">
        <v>15026</v>
      </c>
      <c r="P34" s="841"/>
      <c r="Q34" s="840"/>
      <c r="R34" s="841">
        <v>15850</v>
      </c>
      <c r="S34" s="840">
        <v>42369</v>
      </c>
      <c r="T34" s="841"/>
      <c r="U34" s="840"/>
      <c r="V34" s="841"/>
      <c r="W34" s="840"/>
      <c r="X34" s="841"/>
      <c r="Y34" s="840"/>
      <c r="Z34" s="847">
        <v>3858</v>
      </c>
      <c r="AA34" s="840">
        <v>9572</v>
      </c>
      <c r="AB34" s="841"/>
      <c r="AC34" s="840"/>
      <c r="AD34" s="841">
        <v>16379</v>
      </c>
      <c r="AE34" s="840">
        <v>58329</v>
      </c>
      <c r="AF34" s="841">
        <v>50268</v>
      </c>
      <c r="AG34" s="840">
        <v>101143</v>
      </c>
      <c r="AH34" s="841"/>
      <c r="AI34" s="840"/>
      <c r="AJ34" s="841"/>
      <c r="AK34" s="840"/>
      <c r="AL34" s="848"/>
      <c r="AM34" s="840"/>
      <c r="AN34" s="849"/>
      <c r="AO34" s="843"/>
      <c r="AP34" s="841"/>
      <c r="AQ34" s="840"/>
      <c r="AR34" s="850"/>
      <c r="AS34" s="840"/>
      <c r="AT34" s="841"/>
      <c r="AU34" s="840"/>
      <c r="AV34" s="839">
        <f t="shared" si="0"/>
        <v>164811</v>
      </c>
      <c r="AW34" s="934">
        <f t="shared" si="1"/>
        <v>404620</v>
      </c>
      <c r="AX34" s="850">
        <v>580851</v>
      </c>
      <c r="AY34" s="840">
        <v>1653853</v>
      </c>
      <c r="AZ34" s="844">
        <f t="shared" si="2"/>
        <v>745662</v>
      </c>
      <c r="BA34" s="937">
        <f t="shared" si="3"/>
        <v>2058473</v>
      </c>
    </row>
    <row r="35" spans="1:53" ht="16.5">
      <c r="A35" s="845" t="s">
        <v>268</v>
      </c>
      <c r="B35" s="846">
        <v>29283</v>
      </c>
      <c r="C35" s="840">
        <v>60820</v>
      </c>
      <c r="D35" s="841">
        <v>3606</v>
      </c>
      <c r="E35" s="840">
        <v>7575</v>
      </c>
      <c r="F35" s="841"/>
      <c r="G35" s="840"/>
      <c r="H35" s="841"/>
      <c r="I35" s="840"/>
      <c r="J35" s="841"/>
      <c r="K35" s="840"/>
      <c r="L35" s="841"/>
      <c r="M35" s="840"/>
      <c r="N35" s="841"/>
      <c r="O35" s="840"/>
      <c r="P35" s="841"/>
      <c r="Q35" s="840"/>
      <c r="R35" s="841"/>
      <c r="S35" s="840"/>
      <c r="T35" s="841"/>
      <c r="U35" s="840"/>
      <c r="V35" s="841"/>
      <c r="W35" s="840"/>
      <c r="X35" s="841"/>
      <c r="Y35" s="840"/>
      <c r="Z35" s="847"/>
      <c r="AA35" s="840"/>
      <c r="AB35" s="841"/>
      <c r="AC35" s="840"/>
      <c r="AD35" s="841">
        <v>3311</v>
      </c>
      <c r="AE35" s="840">
        <v>9243</v>
      </c>
      <c r="AF35" s="841"/>
      <c r="AG35" s="840"/>
      <c r="AH35" s="841"/>
      <c r="AI35" s="840"/>
      <c r="AJ35" s="841"/>
      <c r="AK35" s="840"/>
      <c r="AL35" s="848"/>
      <c r="AM35" s="840"/>
      <c r="AN35" s="849"/>
      <c r="AO35" s="843"/>
      <c r="AP35" s="841"/>
      <c r="AQ35" s="840"/>
      <c r="AR35" s="850"/>
      <c r="AS35" s="840"/>
      <c r="AT35" s="852"/>
      <c r="AU35" s="840"/>
      <c r="AV35" s="839">
        <f t="shared" si="0"/>
        <v>36200</v>
      </c>
      <c r="AW35" s="934">
        <f t="shared" si="1"/>
        <v>77638</v>
      </c>
      <c r="AX35" s="850"/>
      <c r="AY35" s="840"/>
      <c r="AZ35" s="844">
        <f t="shared" si="2"/>
        <v>36200</v>
      </c>
      <c r="BA35" s="937">
        <f t="shared" si="3"/>
        <v>77638</v>
      </c>
    </row>
    <row r="36" spans="1:53" ht="16.5">
      <c r="A36" s="845" t="s">
        <v>269</v>
      </c>
      <c r="B36" s="846">
        <v>14294</v>
      </c>
      <c r="C36" s="840">
        <v>58496</v>
      </c>
      <c r="D36" s="841">
        <v>8420</v>
      </c>
      <c r="E36" s="840">
        <v>13977</v>
      </c>
      <c r="F36" s="841"/>
      <c r="G36" s="840"/>
      <c r="H36" s="841">
        <v>36942</v>
      </c>
      <c r="I36" s="840">
        <v>328924</v>
      </c>
      <c r="J36" s="841">
        <f>1732+17810+5543+1286+16466-2556</f>
        <v>40281</v>
      </c>
      <c r="K36" s="840">
        <f>6370+44981+9960+19447+3652+48307+1973</f>
        <v>134690</v>
      </c>
      <c r="L36" s="841">
        <v>47066</v>
      </c>
      <c r="M36" s="840">
        <v>154681</v>
      </c>
      <c r="N36" s="841">
        <v>10438</v>
      </c>
      <c r="O36" s="840">
        <v>17973</v>
      </c>
      <c r="P36" s="841">
        <v>6844</v>
      </c>
      <c r="Q36" s="840">
        <v>17835</v>
      </c>
      <c r="R36" s="841">
        <f>1592+5277</f>
        <v>6869</v>
      </c>
      <c r="S36" s="840">
        <f>4144+19244</f>
        <v>23388</v>
      </c>
      <c r="T36" s="841">
        <f>3553+3677</f>
        <v>7230</v>
      </c>
      <c r="U36" s="840">
        <f>9226+7635</f>
        <v>16861</v>
      </c>
      <c r="V36" s="841"/>
      <c r="W36" s="840"/>
      <c r="X36" s="841">
        <f>60928+92689</f>
        <v>153617</v>
      </c>
      <c r="Y36" s="840">
        <f>254981+118871</f>
        <v>373852</v>
      </c>
      <c r="Z36" s="847">
        <f>9773+3693</f>
        <v>13466</v>
      </c>
      <c r="AA36" s="840">
        <f>23170+8957</f>
        <v>32127</v>
      </c>
      <c r="AB36" s="841"/>
      <c r="AC36" s="840"/>
      <c r="AD36" s="851">
        <f>39817+8143+11192</f>
        <v>59152</v>
      </c>
      <c r="AE36" s="840">
        <f>168054+20871+3732</f>
        <v>192657</v>
      </c>
      <c r="AF36" s="841">
        <f>2886+32003+4250</f>
        <v>39139</v>
      </c>
      <c r="AG36" s="840">
        <f>15978+7973+79256</f>
        <v>103207</v>
      </c>
      <c r="AH36" s="841">
        <v>-16838</v>
      </c>
      <c r="AI36" s="840">
        <v>-25371</v>
      </c>
      <c r="AJ36" s="841">
        <f>-32296+23463</f>
        <v>-8833</v>
      </c>
      <c r="AK36" s="840">
        <f>108803+42110</f>
        <v>150913</v>
      </c>
      <c r="AL36" s="848"/>
      <c r="AM36" s="840"/>
      <c r="AN36" s="849">
        <v>207509</v>
      </c>
      <c r="AO36" s="843">
        <v>414417</v>
      </c>
      <c r="AP36" s="841">
        <v>95204</v>
      </c>
      <c r="AQ36" s="840">
        <v>195929</v>
      </c>
      <c r="AR36" s="850">
        <v>12037</v>
      </c>
      <c r="AS36" s="840">
        <v>23802</v>
      </c>
      <c r="AT36" s="841">
        <f>1300+26545</f>
        <v>27845</v>
      </c>
      <c r="AU36" s="840">
        <f>7250+74852</f>
        <v>82102</v>
      </c>
      <c r="AV36" s="839">
        <f t="shared" si="0"/>
        <v>760682</v>
      </c>
      <c r="AW36" s="934">
        <f t="shared" si="1"/>
        <v>2310460</v>
      </c>
      <c r="AX36" s="841">
        <f>5582705+668227+14810+3625+1158146</f>
        <v>7427513</v>
      </c>
      <c r="AY36" s="840">
        <f>14570127+966065+131044+21286+3137743</f>
        <v>18826265</v>
      </c>
      <c r="AZ36" s="844">
        <f t="shared" si="2"/>
        <v>8188195</v>
      </c>
      <c r="BA36" s="937">
        <f t="shared" si="3"/>
        <v>21136725</v>
      </c>
    </row>
    <row r="37" spans="1:53" ht="17.25" thickBot="1">
      <c r="A37" s="854" t="s">
        <v>270</v>
      </c>
      <c r="B37" s="855">
        <v>75468</v>
      </c>
      <c r="C37" s="840">
        <v>215337</v>
      </c>
      <c r="D37" s="856"/>
      <c r="E37" s="840"/>
      <c r="F37" s="856"/>
      <c r="G37" s="840"/>
      <c r="H37" s="856"/>
      <c r="I37" s="840"/>
      <c r="J37" s="856"/>
      <c r="K37" s="840"/>
      <c r="L37" s="856"/>
      <c r="M37" s="840"/>
      <c r="N37" s="856"/>
      <c r="O37" s="840"/>
      <c r="P37" s="856"/>
      <c r="Q37" s="840"/>
      <c r="R37" s="856"/>
      <c r="S37" s="840"/>
      <c r="T37" s="856">
        <v>5982</v>
      </c>
      <c r="U37" s="840">
        <v>47170</v>
      </c>
      <c r="V37" s="856"/>
      <c r="W37" s="840"/>
      <c r="X37" s="856"/>
      <c r="Y37" s="840"/>
      <c r="Z37" s="857"/>
      <c r="AA37" s="840"/>
      <c r="AB37" s="856">
        <v>13863</v>
      </c>
      <c r="AC37" s="840">
        <v>55684</v>
      </c>
      <c r="AD37" s="858"/>
      <c r="AE37" s="840"/>
      <c r="AF37" s="856"/>
      <c r="AG37" s="840"/>
      <c r="AH37" s="856"/>
      <c r="AI37" s="840"/>
      <c r="AJ37" s="856"/>
      <c r="AK37" s="840"/>
      <c r="AL37" s="859"/>
      <c r="AM37" s="840"/>
      <c r="AN37" s="860"/>
      <c r="AO37" s="843"/>
      <c r="AP37" s="856"/>
      <c r="AQ37" s="840"/>
      <c r="AR37" s="850"/>
      <c r="AS37" s="840"/>
      <c r="AT37" s="856"/>
      <c r="AU37" s="840"/>
      <c r="AV37" s="940">
        <f t="shared" si="0"/>
        <v>95313</v>
      </c>
      <c r="AW37" s="941">
        <f t="shared" si="1"/>
        <v>318191</v>
      </c>
      <c r="AX37" s="856"/>
      <c r="AY37" s="840"/>
      <c r="AZ37" s="844">
        <f t="shared" si="2"/>
        <v>95313</v>
      </c>
      <c r="BA37" s="937">
        <f t="shared" si="3"/>
        <v>318191</v>
      </c>
    </row>
    <row r="38" spans="1:53" s="835" customFormat="1" ht="18.75" thickBot="1">
      <c r="A38" s="861" t="s">
        <v>54</v>
      </c>
      <c r="B38" s="862">
        <f>SUM(B5:B37)</f>
        <v>3329008</v>
      </c>
      <c r="C38" s="863">
        <f aca="true" t="shared" si="4" ref="C38:AU38">SUM(C5:C37)</f>
        <v>8978718</v>
      </c>
      <c r="D38" s="862">
        <f t="shared" si="4"/>
        <v>485158</v>
      </c>
      <c r="E38" s="863">
        <f t="shared" si="4"/>
        <v>1517274</v>
      </c>
      <c r="F38" s="862">
        <f t="shared" si="4"/>
        <v>0</v>
      </c>
      <c r="G38" s="863">
        <f t="shared" si="4"/>
        <v>0</v>
      </c>
      <c r="H38" s="862">
        <f t="shared" si="4"/>
        <v>4953219</v>
      </c>
      <c r="I38" s="863">
        <f t="shared" si="4"/>
        <v>12646262</v>
      </c>
      <c r="J38" s="862">
        <f t="shared" si="4"/>
        <v>1840316</v>
      </c>
      <c r="K38" s="863">
        <f t="shared" si="4"/>
        <v>4702267</v>
      </c>
      <c r="L38" s="862">
        <f t="shared" si="4"/>
        <v>1491396</v>
      </c>
      <c r="M38" s="863">
        <f t="shared" si="4"/>
        <v>4170757</v>
      </c>
      <c r="N38" s="862">
        <f t="shared" si="4"/>
        <v>1132877</v>
      </c>
      <c r="O38" s="863">
        <f t="shared" si="4"/>
        <v>1800242</v>
      </c>
      <c r="P38" s="862">
        <f t="shared" si="4"/>
        <v>1323383</v>
      </c>
      <c r="Q38" s="863">
        <f t="shared" si="4"/>
        <v>3907568</v>
      </c>
      <c r="R38" s="862">
        <f t="shared" si="4"/>
        <v>1747535</v>
      </c>
      <c r="S38" s="863">
        <f t="shared" si="4"/>
        <v>4682234</v>
      </c>
      <c r="T38" s="862">
        <f t="shared" si="4"/>
        <v>1277495</v>
      </c>
      <c r="U38" s="863">
        <f t="shared" si="4"/>
        <v>3684595</v>
      </c>
      <c r="V38" s="862">
        <f t="shared" si="4"/>
        <v>13072976</v>
      </c>
      <c r="W38" s="863">
        <f t="shared" si="4"/>
        <v>30758678</v>
      </c>
      <c r="X38" s="862">
        <f t="shared" si="4"/>
        <v>7006287</v>
      </c>
      <c r="Y38" s="863">
        <f t="shared" si="4"/>
        <v>18345141</v>
      </c>
      <c r="Z38" s="862">
        <f t="shared" si="4"/>
        <v>582073</v>
      </c>
      <c r="AA38" s="863">
        <f t="shared" si="4"/>
        <v>1580553</v>
      </c>
      <c r="AB38" s="862">
        <f t="shared" si="4"/>
        <v>1421262</v>
      </c>
      <c r="AC38" s="863">
        <f t="shared" si="4"/>
        <v>3765557</v>
      </c>
      <c r="AD38" s="862">
        <f t="shared" si="4"/>
        <v>3742499</v>
      </c>
      <c r="AE38" s="863">
        <f t="shared" si="4"/>
        <v>10191826</v>
      </c>
      <c r="AF38" s="862">
        <f t="shared" si="4"/>
        <v>7091849</v>
      </c>
      <c r="AG38" s="863">
        <f t="shared" si="4"/>
        <v>18324294</v>
      </c>
      <c r="AH38" s="862">
        <f t="shared" si="4"/>
        <v>2485863</v>
      </c>
      <c r="AI38" s="863">
        <f t="shared" si="4"/>
        <v>6954090</v>
      </c>
      <c r="AJ38" s="862">
        <f t="shared" si="4"/>
        <v>2552591</v>
      </c>
      <c r="AK38" s="863">
        <f t="shared" si="4"/>
        <v>7624395</v>
      </c>
      <c r="AL38" s="862">
        <f t="shared" si="4"/>
        <v>0</v>
      </c>
      <c r="AM38" s="863">
        <f t="shared" si="4"/>
        <v>0</v>
      </c>
      <c r="AN38" s="862">
        <f t="shared" si="4"/>
        <v>6299714</v>
      </c>
      <c r="AO38" s="863">
        <f t="shared" si="4"/>
        <v>17557524</v>
      </c>
      <c r="AP38" s="862">
        <f t="shared" si="4"/>
        <v>1263812</v>
      </c>
      <c r="AQ38" s="863">
        <f t="shared" si="4"/>
        <v>3455365</v>
      </c>
      <c r="AR38" s="862">
        <f t="shared" si="4"/>
        <v>927681</v>
      </c>
      <c r="AS38" s="863">
        <f t="shared" si="4"/>
        <v>2696344</v>
      </c>
      <c r="AT38" s="862">
        <f t="shared" si="4"/>
        <v>4027044</v>
      </c>
      <c r="AU38" s="863">
        <f t="shared" si="4"/>
        <v>11731466</v>
      </c>
      <c r="AV38" s="942">
        <f t="shared" si="0"/>
        <v>68054038</v>
      </c>
      <c r="AW38" s="943">
        <f t="shared" si="1"/>
        <v>179075150</v>
      </c>
      <c r="AX38" s="864">
        <f>SUM(AX5:AX37)</f>
        <v>102407906</v>
      </c>
      <c r="AY38" s="864">
        <f>SUM(AY5:AY37)</f>
        <v>260368644</v>
      </c>
      <c r="AZ38" s="844">
        <f t="shared" si="2"/>
        <v>170461944</v>
      </c>
      <c r="BA38" s="937">
        <f t="shared" si="3"/>
        <v>439443794</v>
      </c>
    </row>
    <row r="39" spans="1:53" ht="16.5">
      <c r="A39" s="865" t="s">
        <v>271</v>
      </c>
      <c r="B39" s="866"/>
      <c r="C39" s="867"/>
      <c r="D39" s="868"/>
      <c r="E39" s="869"/>
      <c r="F39" s="868"/>
      <c r="G39" s="869"/>
      <c r="H39" s="868"/>
      <c r="I39" s="869"/>
      <c r="J39" s="868"/>
      <c r="K39" s="869"/>
      <c r="L39" s="868"/>
      <c r="M39" s="869"/>
      <c r="N39" s="868"/>
      <c r="O39" s="869"/>
      <c r="P39" s="868"/>
      <c r="Q39" s="869"/>
      <c r="R39" s="868"/>
      <c r="S39" s="869"/>
      <c r="T39" s="868"/>
      <c r="U39" s="869"/>
      <c r="V39" s="868"/>
      <c r="W39" s="869"/>
      <c r="X39" s="868"/>
      <c r="Y39" s="869"/>
      <c r="Z39" s="870"/>
      <c r="AA39" s="871"/>
      <c r="AB39" s="868"/>
      <c r="AC39" s="869"/>
      <c r="AD39" s="868"/>
      <c r="AE39" s="869"/>
      <c r="AF39" s="868"/>
      <c r="AG39" s="869"/>
      <c r="AH39" s="868"/>
      <c r="AI39" s="869"/>
      <c r="AJ39" s="868"/>
      <c r="AK39" s="869"/>
      <c r="AL39" s="872"/>
      <c r="AM39" s="869"/>
      <c r="AN39" s="868"/>
      <c r="AO39" s="869"/>
      <c r="AP39" s="868"/>
      <c r="AQ39" s="869"/>
      <c r="AR39" s="870"/>
      <c r="AS39" s="871"/>
      <c r="AT39" s="868"/>
      <c r="AU39" s="869"/>
      <c r="AV39" s="839"/>
      <c r="AW39" s="934"/>
      <c r="AX39" s="868"/>
      <c r="AY39" s="869"/>
      <c r="AZ39" s="844"/>
      <c r="BA39" s="937"/>
    </row>
    <row r="40" spans="1:53" ht="17.25" thickBot="1">
      <c r="A40" s="873"/>
      <c r="B40" s="874"/>
      <c r="C40" s="875"/>
      <c r="D40" s="874"/>
      <c r="E40" s="875"/>
      <c r="F40" s="874"/>
      <c r="G40" s="875"/>
      <c r="H40" s="874"/>
      <c r="I40" s="875"/>
      <c r="J40" s="874"/>
      <c r="K40" s="875"/>
      <c r="L40" s="874"/>
      <c r="M40" s="875"/>
      <c r="N40" s="874"/>
      <c r="O40" s="875"/>
      <c r="P40" s="874"/>
      <c r="Q40" s="875"/>
      <c r="R40" s="874"/>
      <c r="S40" s="875"/>
      <c r="T40" s="874"/>
      <c r="U40" s="875"/>
      <c r="V40" s="874"/>
      <c r="W40" s="875"/>
      <c r="X40" s="874"/>
      <c r="Y40" s="875"/>
      <c r="Z40" s="874"/>
      <c r="AA40" s="875"/>
      <c r="AB40" s="874"/>
      <c r="AC40" s="875"/>
      <c r="AD40" s="874"/>
      <c r="AE40" s="875"/>
      <c r="AF40" s="874"/>
      <c r="AG40" s="875"/>
      <c r="AH40" s="874"/>
      <c r="AI40" s="875"/>
      <c r="AJ40" s="874"/>
      <c r="AK40" s="875"/>
      <c r="AL40" s="874"/>
      <c r="AM40" s="875"/>
      <c r="AN40" s="874"/>
      <c r="AO40" s="875"/>
      <c r="AP40" s="874"/>
      <c r="AQ40" s="875"/>
      <c r="AR40" s="874"/>
      <c r="AS40" s="875"/>
      <c r="AT40" s="874"/>
      <c r="AU40" s="875"/>
      <c r="AV40" s="935"/>
      <c r="AW40" s="936"/>
      <c r="AX40" s="874"/>
      <c r="AY40" s="875"/>
      <c r="AZ40" s="938"/>
      <c r="BA40" s="939"/>
    </row>
  </sheetData>
  <sheetProtection/>
  <mergeCells count="29">
    <mergeCell ref="AZ3:BA3"/>
    <mergeCell ref="AN3:AO3"/>
    <mergeCell ref="AP3:AQ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G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10" sqref="J10"/>
    </sheetView>
  </sheetViews>
  <sheetFormatPr defaultColWidth="9.140625" defaultRowHeight="15"/>
  <cols>
    <col min="1" max="1" width="37.28125" style="148" bestFit="1" customWidth="1"/>
    <col min="2" max="2" width="13.8515625" style="0" bestFit="1" customWidth="1"/>
    <col min="3" max="3" width="15.00390625" style="0" bestFit="1" customWidth="1"/>
    <col min="4" max="4" width="13.8515625" style="0" bestFit="1" customWidth="1"/>
    <col min="5" max="5" width="15.00390625" style="0" bestFit="1" customWidth="1"/>
    <col min="6" max="6" width="13.8515625" style="0" bestFit="1" customWidth="1"/>
    <col min="7" max="7" width="15.00390625" style="0" bestFit="1" customWidth="1"/>
    <col min="8" max="8" width="13.8515625" style="0" bestFit="1" customWidth="1"/>
    <col min="9" max="9" width="15.00390625" style="0" bestFit="1" customWidth="1"/>
    <col min="10" max="10" width="13.8515625" style="0" bestFit="1" customWidth="1"/>
    <col min="11" max="11" width="15.00390625" style="0" bestFit="1" customWidth="1"/>
    <col min="12" max="12" width="13.8515625" style="0" bestFit="1" customWidth="1"/>
    <col min="13" max="13" width="15.00390625" style="0" bestFit="1" customWidth="1"/>
    <col min="14" max="14" width="13.8515625" style="0" bestFit="1" customWidth="1"/>
    <col min="15" max="15" width="15.00390625" style="0" bestFit="1" customWidth="1"/>
    <col min="16" max="16" width="13.8515625" style="0" bestFit="1" customWidth="1"/>
    <col min="17" max="17" width="15.00390625" style="0" bestFit="1" customWidth="1"/>
    <col min="18" max="18" width="13.8515625" style="0" bestFit="1" customWidth="1"/>
    <col min="19" max="19" width="15.00390625" style="0" bestFit="1" customWidth="1"/>
    <col min="20" max="20" width="13.8515625" style="0" bestFit="1" customWidth="1"/>
    <col min="21" max="21" width="15.00390625" style="0" bestFit="1" customWidth="1"/>
    <col min="22" max="22" width="13.8515625" style="145" bestFit="1" customWidth="1"/>
    <col min="23" max="23" width="15.00390625" style="145" bestFit="1" customWidth="1"/>
    <col min="24" max="24" width="13.8515625" style="0" bestFit="1" customWidth="1"/>
    <col min="25" max="25" width="15.00390625" style="0" bestFit="1" customWidth="1"/>
    <col min="26" max="26" width="13.8515625" style="0" bestFit="1" customWidth="1"/>
    <col min="27" max="27" width="15.00390625" style="0" bestFit="1" customWidth="1"/>
    <col min="28" max="28" width="13.8515625" style="0" bestFit="1" customWidth="1"/>
    <col min="29" max="29" width="15.00390625" style="0" bestFit="1" customWidth="1"/>
    <col min="30" max="30" width="13.8515625" style="0" bestFit="1" customWidth="1"/>
    <col min="31" max="31" width="15.00390625" style="0" bestFit="1" customWidth="1"/>
    <col min="32" max="32" width="13.8515625" style="0" bestFit="1" customWidth="1"/>
    <col min="33" max="33" width="15.00390625" style="0" bestFit="1" customWidth="1"/>
    <col min="34" max="34" width="13.8515625" style="0" bestFit="1" customWidth="1"/>
    <col min="35" max="35" width="15.00390625" style="0" bestFit="1" customWidth="1"/>
    <col min="36" max="36" width="13.8515625" style="0" bestFit="1" customWidth="1"/>
    <col min="37" max="37" width="15.00390625" style="0" bestFit="1" customWidth="1"/>
    <col min="38" max="38" width="13.8515625" style="0" bestFit="1" customWidth="1"/>
    <col min="39" max="39" width="15.00390625" style="0" bestFit="1" customWidth="1"/>
    <col min="40" max="40" width="13.8515625" style="0" bestFit="1" customWidth="1"/>
    <col min="41" max="41" width="15.00390625" style="0" bestFit="1" customWidth="1"/>
    <col min="42" max="42" width="13.8515625" style="145" bestFit="1" customWidth="1"/>
    <col min="43" max="43" width="15.00390625" style="145" bestFit="1" customWidth="1"/>
    <col min="44" max="44" width="13.8515625" style="145" bestFit="1" customWidth="1"/>
    <col min="45" max="45" width="15.00390625" style="145" bestFit="1" customWidth="1"/>
    <col min="46" max="46" width="13.8515625" style="145" bestFit="1" customWidth="1"/>
    <col min="47" max="47" width="15.00390625" style="145" bestFit="1" customWidth="1"/>
    <col min="48" max="48" width="13.8515625" style="146" bestFit="1" customWidth="1"/>
    <col min="49" max="49" width="15.00390625" style="146" bestFit="1" customWidth="1"/>
    <col min="50" max="50" width="13.8515625" style="146" bestFit="1" customWidth="1"/>
    <col min="51" max="51" width="15.00390625" style="146" bestFit="1" customWidth="1"/>
    <col min="52" max="52" width="13.8515625" style="146" bestFit="1" customWidth="1"/>
    <col min="53" max="53" width="15.00390625" style="146" bestFit="1" customWidth="1"/>
    <col min="57" max="57" width="11.421875" style="0" customWidth="1"/>
    <col min="58" max="58" width="13.00390625" style="0" customWidth="1"/>
    <col min="59" max="59" width="11.57421875" style="0" customWidth="1"/>
  </cols>
  <sheetData>
    <row r="1" spans="1:53" s="74" customFormat="1" ht="13.5" customHeight="1">
      <c r="A1" s="1032" t="s">
        <v>113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1032"/>
      <c r="S1" s="1032"/>
      <c r="T1" s="1032"/>
      <c r="U1" s="1032"/>
      <c r="V1" s="1032"/>
      <c r="W1" s="1032"/>
      <c r="X1" s="1032"/>
      <c r="Y1" s="1032"/>
      <c r="Z1" s="1032"/>
      <c r="AA1" s="1032"/>
      <c r="AB1" s="1032"/>
      <c r="AC1" s="1032"/>
      <c r="AD1" s="1032"/>
      <c r="AE1" s="1032"/>
      <c r="AF1" s="1032"/>
      <c r="AG1" s="1032"/>
      <c r="AH1" s="1032"/>
      <c r="AI1" s="1032"/>
      <c r="AJ1" s="1032"/>
      <c r="AK1" s="1032"/>
      <c r="AL1" s="1032"/>
      <c r="AM1" s="1032"/>
      <c r="AN1" s="1032"/>
      <c r="AO1" s="1032"/>
      <c r="AP1" s="1032"/>
      <c r="AQ1" s="1032"/>
      <c r="AR1" s="1032"/>
      <c r="AS1" s="1032"/>
      <c r="AT1" s="1032"/>
      <c r="AU1" s="1032"/>
      <c r="AV1" s="1032"/>
      <c r="AW1" s="1032"/>
      <c r="AX1" s="1032"/>
      <c r="AY1" s="1032"/>
      <c r="AZ1" s="1032"/>
      <c r="BA1" s="111"/>
    </row>
    <row r="2" spans="1:53" s="74" customFormat="1" ht="14.25" customHeight="1" thickBot="1">
      <c r="A2" s="1033" t="s">
        <v>59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1033"/>
      <c r="V2" s="1033"/>
      <c r="W2" s="1033"/>
      <c r="X2" s="1033"/>
      <c r="Y2" s="1033"/>
      <c r="Z2" s="1033"/>
      <c r="AA2" s="1033"/>
      <c r="AB2" s="1033"/>
      <c r="AC2" s="1033"/>
      <c r="AD2" s="1033"/>
      <c r="AE2" s="1033"/>
      <c r="AF2" s="1033"/>
      <c r="AG2" s="1033"/>
      <c r="AH2" s="1033"/>
      <c r="AI2" s="1033"/>
      <c r="AJ2" s="1033"/>
      <c r="AK2" s="1033"/>
      <c r="AL2" s="1033"/>
      <c r="AM2" s="1033"/>
      <c r="AN2" s="1033"/>
      <c r="AO2" s="1033"/>
      <c r="AP2" s="1033"/>
      <c r="AQ2" s="1033"/>
      <c r="AR2" s="1033"/>
      <c r="AS2" s="1033"/>
      <c r="AT2" s="1033"/>
      <c r="AU2" s="1033"/>
      <c r="AV2" s="1033"/>
      <c r="AW2" s="1033"/>
      <c r="AX2" s="1033"/>
      <c r="AY2" s="1033"/>
      <c r="AZ2" s="1033"/>
      <c r="BA2" s="111"/>
    </row>
    <row r="3" spans="1:53" s="719" customFormat="1" ht="38.25" customHeight="1" thickBot="1">
      <c r="A3" s="1034" t="s">
        <v>0</v>
      </c>
      <c r="B3" s="1036" t="s">
        <v>116</v>
      </c>
      <c r="C3" s="1037"/>
      <c r="D3" s="988" t="s">
        <v>117</v>
      </c>
      <c r="E3" s="987"/>
      <c r="F3" s="988" t="s">
        <v>118</v>
      </c>
      <c r="G3" s="987"/>
      <c r="H3" s="988" t="s">
        <v>119</v>
      </c>
      <c r="I3" s="987"/>
      <c r="J3" s="988" t="s">
        <v>120</v>
      </c>
      <c r="K3" s="987"/>
      <c r="L3" s="988" t="s">
        <v>121</v>
      </c>
      <c r="M3" s="987"/>
      <c r="N3" s="988" t="s">
        <v>226</v>
      </c>
      <c r="O3" s="987"/>
      <c r="P3" s="988" t="s">
        <v>122</v>
      </c>
      <c r="Q3" s="987"/>
      <c r="R3" s="986" t="s">
        <v>123</v>
      </c>
      <c r="S3" s="987"/>
      <c r="T3" s="986" t="s">
        <v>124</v>
      </c>
      <c r="U3" s="987"/>
      <c r="V3" s="1000" t="s">
        <v>125</v>
      </c>
      <c r="W3" s="1012"/>
      <c r="X3" s="986" t="s">
        <v>126</v>
      </c>
      <c r="Y3" s="987"/>
      <c r="Z3" s="952" t="s">
        <v>234</v>
      </c>
      <c r="AA3" s="953"/>
      <c r="AB3" s="986" t="s">
        <v>127</v>
      </c>
      <c r="AC3" s="987"/>
      <c r="AD3" s="1038" t="s">
        <v>128</v>
      </c>
      <c r="AE3" s="1039"/>
      <c r="AF3" s="1040" t="s">
        <v>129</v>
      </c>
      <c r="AG3" s="1041"/>
      <c r="AH3" s="986" t="s">
        <v>130</v>
      </c>
      <c r="AI3" s="987"/>
      <c r="AJ3" s="986" t="s">
        <v>131</v>
      </c>
      <c r="AK3" s="987"/>
      <c r="AL3" s="989" t="s">
        <v>219</v>
      </c>
      <c r="AM3" s="989"/>
      <c r="AN3" s="986" t="s">
        <v>133</v>
      </c>
      <c r="AO3" s="988"/>
      <c r="AP3" s="1001" t="s">
        <v>134</v>
      </c>
      <c r="AQ3" s="1001"/>
      <c r="AR3" s="1000" t="s">
        <v>135</v>
      </c>
      <c r="AS3" s="1001"/>
      <c r="AT3" s="1000" t="s">
        <v>136</v>
      </c>
      <c r="AU3" s="1001"/>
      <c r="AV3" s="1023" t="s">
        <v>1</v>
      </c>
      <c r="AW3" s="1024"/>
      <c r="AX3" s="1030" t="s">
        <v>137</v>
      </c>
      <c r="AY3" s="1031"/>
      <c r="AZ3" s="1028" t="s">
        <v>2</v>
      </c>
      <c r="BA3" s="1029"/>
    </row>
    <row r="4" spans="1:53" s="367" customFormat="1" ht="15" customHeight="1" thickBot="1">
      <c r="A4" s="1035"/>
      <c r="B4" s="361" t="s">
        <v>230</v>
      </c>
      <c r="C4" s="363" t="s">
        <v>231</v>
      </c>
      <c r="D4" s="361" t="s">
        <v>230</v>
      </c>
      <c r="E4" s="363" t="s">
        <v>231</v>
      </c>
      <c r="F4" s="361" t="s">
        <v>230</v>
      </c>
      <c r="G4" s="363" t="s">
        <v>231</v>
      </c>
      <c r="H4" s="361" t="s">
        <v>230</v>
      </c>
      <c r="I4" s="363" t="s">
        <v>231</v>
      </c>
      <c r="J4" s="361" t="s">
        <v>230</v>
      </c>
      <c r="K4" s="363" t="s">
        <v>231</v>
      </c>
      <c r="L4" s="361" t="s">
        <v>230</v>
      </c>
      <c r="M4" s="363" t="s">
        <v>231</v>
      </c>
      <c r="N4" s="361" t="s">
        <v>230</v>
      </c>
      <c r="O4" s="363" t="s">
        <v>231</v>
      </c>
      <c r="P4" s="361" t="s">
        <v>230</v>
      </c>
      <c r="Q4" s="363" t="s">
        <v>231</v>
      </c>
      <c r="R4" s="361" t="s">
        <v>230</v>
      </c>
      <c r="S4" s="363" t="s">
        <v>231</v>
      </c>
      <c r="T4" s="361" t="s">
        <v>230</v>
      </c>
      <c r="U4" s="363" t="s">
        <v>231</v>
      </c>
      <c r="V4" s="361" t="s">
        <v>230</v>
      </c>
      <c r="W4" s="363" t="s">
        <v>231</v>
      </c>
      <c r="X4" s="361" t="s">
        <v>230</v>
      </c>
      <c r="Y4" s="363" t="s">
        <v>231</v>
      </c>
      <c r="Z4" s="361" t="s">
        <v>230</v>
      </c>
      <c r="AA4" s="363" t="s">
        <v>231</v>
      </c>
      <c r="AB4" s="361" t="s">
        <v>230</v>
      </c>
      <c r="AC4" s="363" t="s">
        <v>231</v>
      </c>
      <c r="AD4" s="361" t="s">
        <v>230</v>
      </c>
      <c r="AE4" s="363" t="s">
        <v>231</v>
      </c>
      <c r="AF4" s="361" t="s">
        <v>230</v>
      </c>
      <c r="AG4" s="363" t="s">
        <v>231</v>
      </c>
      <c r="AH4" s="361" t="s">
        <v>230</v>
      </c>
      <c r="AI4" s="363" t="s">
        <v>231</v>
      </c>
      <c r="AJ4" s="361" t="s">
        <v>230</v>
      </c>
      <c r="AK4" s="363" t="s">
        <v>231</v>
      </c>
      <c r="AL4" s="361" t="s">
        <v>230</v>
      </c>
      <c r="AM4" s="363" t="s">
        <v>231</v>
      </c>
      <c r="AN4" s="361" t="s">
        <v>230</v>
      </c>
      <c r="AO4" s="363" t="s">
        <v>231</v>
      </c>
      <c r="AP4" s="361" t="s">
        <v>230</v>
      </c>
      <c r="AQ4" s="363" t="s">
        <v>231</v>
      </c>
      <c r="AR4" s="361" t="s">
        <v>230</v>
      </c>
      <c r="AS4" s="363" t="s">
        <v>231</v>
      </c>
      <c r="AT4" s="361" t="s">
        <v>230</v>
      </c>
      <c r="AU4" s="363" t="s">
        <v>231</v>
      </c>
      <c r="AV4" s="361" t="s">
        <v>230</v>
      </c>
      <c r="AW4" s="363" t="s">
        <v>231</v>
      </c>
      <c r="AX4" s="361" t="s">
        <v>230</v>
      </c>
      <c r="AY4" s="363" t="s">
        <v>231</v>
      </c>
      <c r="AZ4" s="361" t="s">
        <v>230</v>
      </c>
      <c r="BA4" s="363" t="s">
        <v>231</v>
      </c>
    </row>
    <row r="5" spans="1:53" s="78" customFormat="1" ht="15" customHeight="1">
      <c r="A5" s="149" t="s">
        <v>30</v>
      </c>
      <c r="B5" s="150"/>
      <c r="C5" s="152"/>
      <c r="D5" s="153"/>
      <c r="E5" s="152"/>
      <c r="F5" s="155"/>
      <c r="G5" s="154"/>
      <c r="H5" s="155"/>
      <c r="I5" s="154"/>
      <c r="J5" s="155"/>
      <c r="K5" s="154"/>
      <c r="L5" s="155"/>
      <c r="M5" s="154"/>
      <c r="N5" s="155"/>
      <c r="O5" s="154"/>
      <c r="P5" s="153"/>
      <c r="Q5" s="152"/>
      <c r="R5" s="150"/>
      <c r="S5" s="152"/>
      <c r="T5" s="150"/>
      <c r="U5" s="152"/>
      <c r="V5" s="158"/>
      <c r="W5" s="154"/>
      <c r="X5" s="150"/>
      <c r="Y5" s="152"/>
      <c r="Z5" s="150"/>
      <c r="AA5" s="152"/>
      <c r="AB5" s="150"/>
      <c r="AC5" s="152"/>
      <c r="AD5" s="150"/>
      <c r="AE5" s="152"/>
      <c r="AF5" s="150"/>
      <c r="AG5" s="152"/>
      <c r="AH5" s="150"/>
      <c r="AI5" s="152"/>
      <c r="AJ5" s="150"/>
      <c r="AK5" s="152"/>
      <c r="AL5" s="600"/>
      <c r="AM5" s="787"/>
      <c r="AN5" s="177"/>
      <c r="AO5" s="179"/>
      <c r="AP5" s="155"/>
      <c r="AQ5" s="156"/>
      <c r="AR5" s="158"/>
      <c r="AS5" s="156"/>
      <c r="AT5" s="158"/>
      <c r="AU5" s="156"/>
      <c r="AV5" s="158"/>
      <c r="AW5" s="156"/>
      <c r="AX5" s="158"/>
      <c r="AY5" s="156"/>
      <c r="AZ5" s="158"/>
      <c r="BA5" s="160"/>
    </row>
    <row r="6" spans="1:53" s="78" customFormat="1" ht="14.25">
      <c r="A6" s="107" t="s">
        <v>31</v>
      </c>
      <c r="B6" s="112">
        <v>2674355</v>
      </c>
      <c r="C6" s="79">
        <v>5926947</v>
      </c>
      <c r="D6" s="113">
        <v>499439</v>
      </c>
      <c r="E6" s="82">
        <v>985484</v>
      </c>
      <c r="F6" s="114"/>
      <c r="G6" s="86"/>
      <c r="H6" s="114">
        <v>4744390</v>
      </c>
      <c r="I6" s="86">
        <v>9761861</v>
      </c>
      <c r="J6" s="114">
        <v>672289</v>
      </c>
      <c r="K6" s="86">
        <v>1374781</v>
      </c>
      <c r="L6" s="114">
        <v>1049271</v>
      </c>
      <c r="M6" s="114">
        <v>2263034</v>
      </c>
      <c r="N6" s="114">
        <v>1008570</v>
      </c>
      <c r="O6" s="598">
        <v>2026193</v>
      </c>
      <c r="P6" s="113">
        <v>305124</v>
      </c>
      <c r="Q6" s="82">
        <v>751923</v>
      </c>
      <c r="R6" s="80">
        <v>800803</v>
      </c>
      <c r="S6" s="82">
        <v>2199567</v>
      </c>
      <c r="T6" s="80">
        <v>525014</v>
      </c>
      <c r="U6" s="82">
        <v>1233096</v>
      </c>
      <c r="V6" s="84">
        <v>10084237</v>
      </c>
      <c r="W6" s="86">
        <v>19607096</v>
      </c>
      <c r="X6" s="80">
        <v>8626792</v>
      </c>
      <c r="Y6" s="82">
        <v>19930341</v>
      </c>
      <c r="Z6" s="87">
        <v>376031</v>
      </c>
      <c r="AA6" s="88">
        <v>865009</v>
      </c>
      <c r="AB6" s="80">
        <v>1785313</v>
      </c>
      <c r="AC6" s="82">
        <v>3759892</v>
      </c>
      <c r="AD6" s="80">
        <v>3893709</v>
      </c>
      <c r="AE6" s="82">
        <v>8513486</v>
      </c>
      <c r="AF6" s="80">
        <v>4836993</v>
      </c>
      <c r="AG6" s="82">
        <v>10322644</v>
      </c>
      <c r="AH6" s="80">
        <v>2408732</v>
      </c>
      <c r="AI6" s="82">
        <v>5372630</v>
      </c>
      <c r="AJ6" s="80">
        <v>712995</v>
      </c>
      <c r="AK6" s="82">
        <v>1501706</v>
      </c>
      <c r="AL6" s="602"/>
      <c r="AM6" s="83"/>
      <c r="AN6" s="183">
        <v>10527743</v>
      </c>
      <c r="AO6" s="788">
        <v>21002978</v>
      </c>
      <c r="AP6" s="180">
        <v>859089</v>
      </c>
      <c r="AQ6" s="101">
        <v>1753439</v>
      </c>
      <c r="AR6" s="102">
        <v>866081</v>
      </c>
      <c r="AS6" s="103">
        <v>1744397</v>
      </c>
      <c r="AT6" s="84">
        <v>2502297</v>
      </c>
      <c r="AU6" s="85">
        <v>5558741</v>
      </c>
      <c r="AV6" s="105">
        <f>SUM(B6+D6+F6+H6+J6+L6+N6+P6+R6+T6+V6+X6+Z6+AB6+AD6+AF6+AH6+AJ6+AL6+AN6+AP6+AR6+AT6)</f>
        <v>59759267</v>
      </c>
      <c r="AW6" s="115">
        <f>SUM(C6+E6+G6+I6+K6+M6+O6+Q6+S6+U6+W6+Y6+AA6+AC6+AE6+AG6+AI6+AK6+AM6+AO6+AQ6+AS6+AU6)</f>
        <v>126455245</v>
      </c>
      <c r="AX6" s="102">
        <v>75461687</v>
      </c>
      <c r="AY6" s="103">
        <v>167056271</v>
      </c>
      <c r="AZ6" s="105">
        <f aca="true" t="shared" si="0" ref="AZ6:BA8">AV6+AX6</f>
        <v>135220954</v>
      </c>
      <c r="BA6" s="117">
        <f t="shared" si="0"/>
        <v>293511516</v>
      </c>
    </row>
    <row r="7" spans="1:53" s="78" customFormat="1" ht="14.25">
      <c r="A7" s="107" t="s">
        <v>32</v>
      </c>
      <c r="B7" s="112">
        <v>2570028</v>
      </c>
      <c r="C7" s="79">
        <v>7305187</v>
      </c>
      <c r="D7" s="113">
        <v>70006</v>
      </c>
      <c r="E7" s="82">
        <v>106934</v>
      </c>
      <c r="F7" s="114"/>
      <c r="G7" s="86"/>
      <c r="H7" s="114">
        <v>4293418</v>
      </c>
      <c r="I7" s="86">
        <v>8695227</v>
      </c>
      <c r="J7" s="114">
        <v>203844</v>
      </c>
      <c r="K7" s="86">
        <v>420289</v>
      </c>
      <c r="L7" s="114">
        <v>28011</v>
      </c>
      <c r="M7" s="114">
        <v>252858</v>
      </c>
      <c r="N7" s="114">
        <v>45417</v>
      </c>
      <c r="O7" s="598">
        <v>56717</v>
      </c>
      <c r="P7" s="113"/>
      <c r="Q7" s="82"/>
      <c r="R7" s="80">
        <v>1691998</v>
      </c>
      <c r="S7" s="82">
        <v>4602709</v>
      </c>
      <c r="T7" s="80">
        <v>436818</v>
      </c>
      <c r="U7" s="82">
        <v>725478</v>
      </c>
      <c r="V7" s="84">
        <v>16754089</v>
      </c>
      <c r="W7" s="86">
        <v>35647025</v>
      </c>
      <c r="X7" s="80">
        <v>10870661</v>
      </c>
      <c r="Y7" s="82">
        <v>22373171</v>
      </c>
      <c r="Z7" s="87">
        <v>745074</v>
      </c>
      <c r="AA7" s="88">
        <v>2074897</v>
      </c>
      <c r="AB7" s="80">
        <v>241188</v>
      </c>
      <c r="AC7" s="82">
        <v>731174</v>
      </c>
      <c r="AD7" s="80">
        <v>2996538</v>
      </c>
      <c r="AE7" s="82">
        <v>9978226</v>
      </c>
      <c r="AF7" s="80">
        <v>2864851</v>
      </c>
      <c r="AG7" s="82">
        <v>6864997</v>
      </c>
      <c r="AH7" s="80">
        <v>703603</v>
      </c>
      <c r="AI7" s="82">
        <v>1552948</v>
      </c>
      <c r="AJ7" s="80">
        <v>1453316</v>
      </c>
      <c r="AK7" s="82">
        <v>4457017</v>
      </c>
      <c r="AL7" s="602"/>
      <c r="AM7" s="83"/>
      <c r="AN7" s="183">
        <v>6657666</v>
      </c>
      <c r="AO7" s="788">
        <v>37046892</v>
      </c>
      <c r="AP7" s="180">
        <v>362225</v>
      </c>
      <c r="AQ7" s="101">
        <v>802521</v>
      </c>
      <c r="AR7" s="102">
        <v>618952</v>
      </c>
      <c r="AS7" s="103">
        <v>1425440</v>
      </c>
      <c r="AT7" s="84">
        <v>1218868</v>
      </c>
      <c r="AU7" s="85">
        <v>3986951</v>
      </c>
      <c r="AV7" s="105">
        <f>SUM(B7+D7+F7+H7+J7+L7+N7+P7+R7+T7+V7+X7+Z7+AB7+AD7+AF7+AH7+AJ7+AL7+AN7+AP7+AR7+AT7)</f>
        <v>54826571</v>
      </c>
      <c r="AW7" s="115">
        <f aca="true" t="shared" si="1" ref="AW7:AW31">SUM(C7+E7+G7+I7+K7+M7+O7+Q7+S7+U7+W7+Y7+AA7+AC7+AE7+AG7+AI7+AK7+AM7+AO7+AQ7+AS7+AU7)</f>
        <v>149106658</v>
      </c>
      <c r="AX7" s="102">
        <v>382084859</v>
      </c>
      <c r="AY7" s="103">
        <v>998555340</v>
      </c>
      <c r="AZ7" s="105">
        <f t="shared" si="0"/>
        <v>436911430</v>
      </c>
      <c r="BA7" s="117">
        <f t="shared" si="0"/>
        <v>1147661998</v>
      </c>
    </row>
    <row r="8" spans="1:53" s="78" customFormat="1" ht="14.25">
      <c r="A8" s="107" t="s">
        <v>33</v>
      </c>
      <c r="B8" s="112">
        <v>38434</v>
      </c>
      <c r="C8" s="79">
        <v>109264</v>
      </c>
      <c r="D8" s="113">
        <v>32</v>
      </c>
      <c r="E8" s="82">
        <v>119</v>
      </c>
      <c r="F8" s="114"/>
      <c r="G8" s="86"/>
      <c r="H8" s="114">
        <v>38426</v>
      </c>
      <c r="I8" s="86">
        <v>146972</v>
      </c>
      <c r="J8" s="114"/>
      <c r="K8" s="86"/>
      <c r="L8" s="114">
        <v>43735</v>
      </c>
      <c r="M8" s="114">
        <v>111697</v>
      </c>
      <c r="N8" s="114"/>
      <c r="O8" s="598"/>
      <c r="P8" s="113">
        <v>6066</v>
      </c>
      <c r="Q8" s="82">
        <v>15203</v>
      </c>
      <c r="R8" s="80">
        <v>18863</v>
      </c>
      <c r="S8" s="82">
        <v>55833</v>
      </c>
      <c r="T8" s="80">
        <v>1207</v>
      </c>
      <c r="U8" s="82">
        <v>3570</v>
      </c>
      <c r="V8" s="84">
        <v>1096087</v>
      </c>
      <c r="W8" s="86">
        <v>2948097</v>
      </c>
      <c r="X8" s="80">
        <v>745906</v>
      </c>
      <c r="Y8" s="82">
        <v>2120322</v>
      </c>
      <c r="Z8" s="87">
        <v>2596</v>
      </c>
      <c r="AA8" s="88">
        <v>5275</v>
      </c>
      <c r="AB8" s="80">
        <v>648</v>
      </c>
      <c r="AC8" s="82">
        <v>1386</v>
      </c>
      <c r="AD8" s="80">
        <v>104226</v>
      </c>
      <c r="AE8" s="82">
        <v>221945</v>
      </c>
      <c r="AF8" s="80">
        <v>56923</v>
      </c>
      <c r="AG8" s="82">
        <v>125502</v>
      </c>
      <c r="AH8" s="80">
        <v>52705</v>
      </c>
      <c r="AI8" s="82">
        <v>149028</v>
      </c>
      <c r="AJ8" s="80">
        <v>18963</v>
      </c>
      <c r="AK8" s="82">
        <v>46662</v>
      </c>
      <c r="AL8" s="602"/>
      <c r="AM8" s="83"/>
      <c r="AN8" s="183">
        <v>968215</v>
      </c>
      <c r="AO8" s="788">
        <v>2511243</v>
      </c>
      <c r="AP8" s="180">
        <v>2415</v>
      </c>
      <c r="AQ8" s="101">
        <v>4995</v>
      </c>
      <c r="AR8" s="102">
        <v>40045</v>
      </c>
      <c r="AS8" s="103">
        <v>118051</v>
      </c>
      <c r="AT8" s="84">
        <v>32448</v>
      </c>
      <c r="AU8" s="85">
        <v>92990</v>
      </c>
      <c r="AV8" s="105">
        <f>SUM(B8+D8+F8+H8+J8+L8+N8+P8+R8+T8+V8+X8+Z8+AB8+AD8+AF8+AH8+AJ8+AL8+AN8+AP8+AR8+AT8)</f>
        <v>3267940</v>
      </c>
      <c r="AW8" s="115">
        <f t="shared" si="1"/>
        <v>8788154</v>
      </c>
      <c r="AX8" s="102">
        <v>39118763</v>
      </c>
      <c r="AY8" s="103">
        <v>107828115</v>
      </c>
      <c r="AZ8" s="105">
        <f t="shared" si="0"/>
        <v>42386703</v>
      </c>
      <c r="BA8" s="117">
        <f t="shared" si="0"/>
        <v>116616269</v>
      </c>
    </row>
    <row r="9" spans="1:53" s="78" customFormat="1" ht="14.25">
      <c r="A9" s="107" t="s">
        <v>34</v>
      </c>
      <c r="B9" s="112"/>
      <c r="C9" s="79"/>
      <c r="D9" s="113"/>
      <c r="E9" s="82"/>
      <c r="F9" s="114"/>
      <c r="G9" s="86"/>
      <c r="H9" s="114"/>
      <c r="I9" s="86"/>
      <c r="J9" s="114"/>
      <c r="K9" s="86"/>
      <c r="L9" s="114"/>
      <c r="M9" s="114"/>
      <c r="N9" s="114"/>
      <c r="O9" s="598"/>
      <c r="P9" s="113"/>
      <c r="Q9" s="82"/>
      <c r="R9" s="80"/>
      <c r="S9" s="82"/>
      <c r="T9" s="80"/>
      <c r="U9" s="82"/>
      <c r="V9" s="84"/>
      <c r="W9" s="86"/>
      <c r="X9" s="80"/>
      <c r="Y9" s="82"/>
      <c r="Z9" s="87"/>
      <c r="AA9" s="88"/>
      <c r="AB9" s="80"/>
      <c r="AC9" s="82"/>
      <c r="AD9" s="80"/>
      <c r="AE9" s="82"/>
      <c r="AF9" s="80"/>
      <c r="AG9" s="82"/>
      <c r="AH9" s="80"/>
      <c r="AI9" s="82"/>
      <c r="AJ9" s="80"/>
      <c r="AK9" s="82"/>
      <c r="AL9" s="602"/>
      <c r="AM9" s="83"/>
      <c r="AN9" s="84"/>
      <c r="AO9" s="788"/>
      <c r="AP9" s="180"/>
      <c r="AQ9" s="101"/>
      <c r="AR9" s="102"/>
      <c r="AS9" s="103"/>
      <c r="AT9" s="84"/>
      <c r="AU9" s="85"/>
      <c r="AV9" s="105"/>
      <c r="AW9" s="115">
        <f t="shared" si="1"/>
        <v>0</v>
      </c>
      <c r="AX9" s="102"/>
      <c r="AY9" s="103"/>
      <c r="AZ9" s="105"/>
      <c r="BA9" s="117"/>
    </row>
    <row r="10" spans="1:53" s="78" customFormat="1" ht="14.25">
      <c r="A10" s="107" t="s">
        <v>35</v>
      </c>
      <c r="B10" s="120">
        <v>382380</v>
      </c>
      <c r="C10" s="79">
        <v>702266</v>
      </c>
      <c r="D10" s="121">
        <v>30936</v>
      </c>
      <c r="E10" s="82">
        <v>69789</v>
      </c>
      <c r="F10" s="115"/>
      <c r="G10" s="86"/>
      <c r="H10" s="115">
        <v>912491</v>
      </c>
      <c r="I10" s="86">
        <v>2342375</v>
      </c>
      <c r="J10" s="115">
        <v>296592</v>
      </c>
      <c r="K10" s="86">
        <v>704389</v>
      </c>
      <c r="L10" s="115">
        <v>48453</v>
      </c>
      <c r="M10" s="115">
        <v>132651</v>
      </c>
      <c r="N10" s="115">
        <v>13435</v>
      </c>
      <c r="O10" s="598">
        <v>32565</v>
      </c>
      <c r="P10" s="121">
        <v>21677</v>
      </c>
      <c r="Q10" s="82">
        <v>53786</v>
      </c>
      <c r="R10" s="91"/>
      <c r="S10" s="82"/>
      <c r="T10" s="91">
        <v>69386</v>
      </c>
      <c r="U10" s="82">
        <v>158430</v>
      </c>
      <c r="V10" s="84">
        <v>144995</v>
      </c>
      <c r="W10" s="86">
        <v>389664</v>
      </c>
      <c r="X10" s="91">
        <v>1066695</v>
      </c>
      <c r="Y10" s="82">
        <v>2430768</v>
      </c>
      <c r="Z10" s="87">
        <v>519305</v>
      </c>
      <c r="AA10" s="88">
        <v>1568555</v>
      </c>
      <c r="AB10" s="91">
        <v>198154</v>
      </c>
      <c r="AC10" s="82">
        <v>539516</v>
      </c>
      <c r="AD10" s="122">
        <v>807469</v>
      </c>
      <c r="AE10" s="82">
        <v>1631108</v>
      </c>
      <c r="AF10" s="91">
        <v>499386</v>
      </c>
      <c r="AG10" s="82">
        <v>1166501</v>
      </c>
      <c r="AH10" s="91">
        <v>904039</v>
      </c>
      <c r="AI10" s="82">
        <v>2345852</v>
      </c>
      <c r="AJ10" s="91">
        <v>1681523</v>
      </c>
      <c r="AK10" s="82">
        <v>4275161</v>
      </c>
      <c r="AL10" s="602"/>
      <c r="AM10" s="83"/>
      <c r="AN10" s="183">
        <v>3629520</v>
      </c>
      <c r="AO10" s="788">
        <v>10187742</v>
      </c>
      <c r="AP10" s="180">
        <v>116764</v>
      </c>
      <c r="AQ10" s="101">
        <v>282889</v>
      </c>
      <c r="AR10" s="102">
        <v>219361</v>
      </c>
      <c r="AS10" s="103">
        <v>475464</v>
      </c>
      <c r="AT10" s="105">
        <f>748234+924132</f>
        <v>1672366</v>
      </c>
      <c r="AU10" s="85">
        <f>1945548+2476573</f>
        <v>4422121</v>
      </c>
      <c r="AV10" s="105">
        <f aca="true" t="shared" si="2" ref="AV10:AV15">SUM(B10+D10+F10+H10+J10+L10+N10+P10+R10+T10+V10+X10+Z10+AB10+AD10+AF10+AH10+AJ10+AL10+AN10+AP10+AR10+AT10)</f>
        <v>13234927</v>
      </c>
      <c r="AW10" s="115">
        <f t="shared" si="1"/>
        <v>33911592</v>
      </c>
      <c r="AX10" s="105"/>
      <c r="AY10" s="103"/>
      <c r="AZ10" s="105">
        <f aca="true" t="shared" si="3" ref="AZ10:AZ22">AV10+AX10</f>
        <v>13234927</v>
      </c>
      <c r="BA10" s="117">
        <f aca="true" t="shared" si="4" ref="BA10:BA22">AW10+AY10</f>
        <v>33911592</v>
      </c>
    </row>
    <row r="11" spans="1:59" s="78" customFormat="1" ht="14.25">
      <c r="A11" s="107" t="s">
        <v>36</v>
      </c>
      <c r="B11" s="112">
        <v>8537589</v>
      </c>
      <c r="C11" s="79">
        <v>18578513</v>
      </c>
      <c r="D11" s="113">
        <v>545829</v>
      </c>
      <c r="E11" s="82">
        <v>1148969</v>
      </c>
      <c r="F11" s="114"/>
      <c r="G11" s="86"/>
      <c r="H11" s="114">
        <v>8001028</v>
      </c>
      <c r="I11" s="86">
        <v>17607865</v>
      </c>
      <c r="J11" s="114">
        <v>632204</v>
      </c>
      <c r="K11" s="86">
        <v>1362491</v>
      </c>
      <c r="L11" s="114">
        <v>2913287</v>
      </c>
      <c r="M11" s="114">
        <v>8383948</v>
      </c>
      <c r="N11" s="114">
        <v>480490</v>
      </c>
      <c r="O11" s="598">
        <v>1063932</v>
      </c>
      <c r="P11" s="113">
        <v>280071</v>
      </c>
      <c r="Q11" s="82">
        <v>474268</v>
      </c>
      <c r="R11" s="80">
        <v>1966913</v>
      </c>
      <c r="S11" s="82">
        <v>4670020</v>
      </c>
      <c r="T11" s="80">
        <v>390454</v>
      </c>
      <c r="U11" s="82">
        <v>895311</v>
      </c>
      <c r="V11" s="84">
        <v>21804689</v>
      </c>
      <c r="W11" s="86">
        <v>41659946</v>
      </c>
      <c r="X11" s="80">
        <v>49072642</v>
      </c>
      <c r="Y11" s="82">
        <v>102059539</v>
      </c>
      <c r="Z11" s="80">
        <v>819007</v>
      </c>
      <c r="AA11" s="82">
        <v>1806335</v>
      </c>
      <c r="AB11" s="80">
        <v>1936163</v>
      </c>
      <c r="AC11" s="82">
        <v>23302796</v>
      </c>
      <c r="AD11" s="80">
        <v>3081336</v>
      </c>
      <c r="AE11" s="82">
        <v>6777416</v>
      </c>
      <c r="AF11" s="80">
        <v>10124767</v>
      </c>
      <c r="AG11" s="82">
        <v>22873258</v>
      </c>
      <c r="AH11" s="80">
        <v>3871586</v>
      </c>
      <c r="AI11" s="82">
        <v>9847665</v>
      </c>
      <c r="AJ11" s="80">
        <v>3501361</v>
      </c>
      <c r="AK11" s="82">
        <v>7183466</v>
      </c>
      <c r="AL11" s="602"/>
      <c r="AM11" s="83"/>
      <c r="AN11" s="183">
        <v>13183809</v>
      </c>
      <c r="AO11" s="788">
        <v>27666434</v>
      </c>
      <c r="AP11" s="180">
        <v>301871</v>
      </c>
      <c r="AQ11" s="101">
        <v>605940</v>
      </c>
      <c r="AR11" s="102">
        <v>989429</v>
      </c>
      <c r="AS11" s="103">
        <v>2677396</v>
      </c>
      <c r="AT11" s="84">
        <v>2995950</v>
      </c>
      <c r="AU11" s="85">
        <v>5812207</v>
      </c>
      <c r="AV11" s="105">
        <f t="shared" si="2"/>
        <v>135430475</v>
      </c>
      <c r="AW11" s="115">
        <f t="shared" si="1"/>
        <v>306457715</v>
      </c>
      <c r="AX11" s="102">
        <v>189683344</v>
      </c>
      <c r="AY11" s="103">
        <v>547941926</v>
      </c>
      <c r="AZ11" s="105">
        <f t="shared" si="3"/>
        <v>325113819</v>
      </c>
      <c r="BA11" s="117">
        <f t="shared" si="4"/>
        <v>854399641</v>
      </c>
      <c r="BF11" s="144"/>
      <c r="BG11" s="144"/>
    </row>
    <row r="12" spans="1:53" s="78" customFormat="1" ht="14.25">
      <c r="A12" s="107" t="s">
        <v>37</v>
      </c>
      <c r="B12" s="112"/>
      <c r="C12" s="79"/>
      <c r="D12" s="113"/>
      <c r="E12" s="82"/>
      <c r="F12" s="114"/>
      <c r="G12" s="86"/>
      <c r="H12" s="114"/>
      <c r="I12" s="86"/>
      <c r="J12" s="114"/>
      <c r="K12" s="86"/>
      <c r="L12" s="114"/>
      <c r="M12" s="114"/>
      <c r="N12" s="114"/>
      <c r="O12" s="598"/>
      <c r="P12" s="113"/>
      <c r="Q12" s="82"/>
      <c r="R12" s="80"/>
      <c r="S12" s="82"/>
      <c r="T12" s="80"/>
      <c r="U12" s="82"/>
      <c r="V12" s="84">
        <v>6927733</v>
      </c>
      <c r="W12" s="86">
        <v>22453577</v>
      </c>
      <c r="X12" s="80"/>
      <c r="Y12" s="82"/>
      <c r="Z12" s="80"/>
      <c r="AA12" s="82"/>
      <c r="AB12" s="80"/>
      <c r="AC12" s="82"/>
      <c r="AD12" s="80">
        <v>245208</v>
      </c>
      <c r="AE12" s="82">
        <v>679364</v>
      </c>
      <c r="AF12" s="80"/>
      <c r="AG12" s="82"/>
      <c r="AH12" s="80"/>
      <c r="AI12" s="82"/>
      <c r="AJ12" s="80"/>
      <c r="AK12" s="82"/>
      <c r="AL12" s="602"/>
      <c r="AM12" s="83"/>
      <c r="AN12" s="183">
        <v>7355259</v>
      </c>
      <c r="AO12" s="788">
        <v>15118387</v>
      </c>
      <c r="AP12" s="180"/>
      <c r="AQ12" s="101"/>
      <c r="AR12" s="102"/>
      <c r="AS12" s="103"/>
      <c r="AT12" s="84"/>
      <c r="AU12" s="85"/>
      <c r="AV12" s="105">
        <f t="shared" si="2"/>
        <v>14528200</v>
      </c>
      <c r="AW12" s="115">
        <f t="shared" si="1"/>
        <v>38251328</v>
      </c>
      <c r="AX12" s="102"/>
      <c r="AY12" s="103"/>
      <c r="AZ12" s="105">
        <f t="shared" si="3"/>
        <v>14528200</v>
      </c>
      <c r="BA12" s="117">
        <f t="shared" si="4"/>
        <v>38251328</v>
      </c>
    </row>
    <row r="13" spans="1:53" s="78" customFormat="1" ht="14.25">
      <c r="A13" s="107" t="s">
        <v>38</v>
      </c>
      <c r="B13" s="112"/>
      <c r="C13" s="79"/>
      <c r="D13" s="113">
        <v>8675</v>
      </c>
      <c r="E13" s="82">
        <v>22452</v>
      </c>
      <c r="F13" s="114"/>
      <c r="G13" s="86"/>
      <c r="H13" s="114"/>
      <c r="I13" s="86"/>
      <c r="J13" s="114"/>
      <c r="K13" s="86"/>
      <c r="L13" s="114">
        <v>706533</v>
      </c>
      <c r="M13" s="114">
        <v>1527172</v>
      </c>
      <c r="N13" s="114"/>
      <c r="O13" s="598"/>
      <c r="P13" s="113">
        <v>-90797</v>
      </c>
      <c r="Q13" s="82">
        <v>57292</v>
      </c>
      <c r="R13" s="80"/>
      <c r="S13" s="82"/>
      <c r="T13" s="80">
        <v>24184</v>
      </c>
      <c r="U13" s="82">
        <v>51773</v>
      </c>
      <c r="V13" s="84">
        <v>5310599</v>
      </c>
      <c r="W13" s="86">
        <v>13665326</v>
      </c>
      <c r="X13" s="80"/>
      <c r="Y13" s="82"/>
      <c r="Z13" s="80"/>
      <c r="AA13" s="82"/>
      <c r="AB13" s="80"/>
      <c r="AC13" s="82"/>
      <c r="AD13" s="80"/>
      <c r="AE13" s="82"/>
      <c r="AF13" s="80"/>
      <c r="AG13" s="82"/>
      <c r="AH13" s="80"/>
      <c r="AI13" s="82"/>
      <c r="AJ13" s="80"/>
      <c r="AK13" s="82"/>
      <c r="AL13" s="602"/>
      <c r="AM13" s="83"/>
      <c r="AN13" s="183">
        <v>5256399</v>
      </c>
      <c r="AO13" s="788">
        <v>27744861</v>
      </c>
      <c r="AP13" s="180">
        <v>862</v>
      </c>
      <c r="AQ13" s="101">
        <v>1223</v>
      </c>
      <c r="AR13" s="102"/>
      <c r="AS13" s="103"/>
      <c r="AT13" s="84"/>
      <c r="AU13" s="85"/>
      <c r="AV13" s="105">
        <f t="shared" si="2"/>
        <v>11216455</v>
      </c>
      <c r="AW13" s="115">
        <f t="shared" si="1"/>
        <v>43070099</v>
      </c>
      <c r="AX13" s="102"/>
      <c r="AY13" s="103"/>
      <c r="AZ13" s="105">
        <f t="shared" si="3"/>
        <v>11216455</v>
      </c>
      <c r="BA13" s="117">
        <f t="shared" si="4"/>
        <v>43070099</v>
      </c>
    </row>
    <row r="14" spans="1:53" s="78" customFormat="1" ht="14.25">
      <c r="A14" s="107" t="s">
        <v>39</v>
      </c>
      <c r="B14" s="120">
        <v>12599</v>
      </c>
      <c r="C14" s="79">
        <v>42847</v>
      </c>
      <c r="D14" s="121">
        <v>22821</v>
      </c>
      <c r="E14" s="82">
        <v>31954</v>
      </c>
      <c r="F14" s="115"/>
      <c r="G14" s="86"/>
      <c r="H14" s="115">
        <v>47173</v>
      </c>
      <c r="I14" s="86">
        <v>142905</v>
      </c>
      <c r="J14" s="115">
        <v>6797</v>
      </c>
      <c r="K14" s="86">
        <v>19983</v>
      </c>
      <c r="L14" s="115"/>
      <c r="M14" s="115"/>
      <c r="N14" s="115"/>
      <c r="O14" s="598"/>
      <c r="P14" s="121"/>
      <c r="Q14" s="82"/>
      <c r="R14" s="91"/>
      <c r="S14" s="82"/>
      <c r="T14" s="91"/>
      <c r="U14" s="82"/>
      <c r="V14" s="105"/>
      <c r="W14" s="86"/>
      <c r="X14" s="91">
        <v>11518</v>
      </c>
      <c r="Y14" s="82">
        <v>32373</v>
      </c>
      <c r="Z14" s="87">
        <v>677</v>
      </c>
      <c r="AA14" s="88">
        <v>5913</v>
      </c>
      <c r="AB14" s="91"/>
      <c r="AC14" s="82"/>
      <c r="AD14" s="122">
        <v>64515</v>
      </c>
      <c r="AE14" s="82">
        <v>11837</v>
      </c>
      <c r="AF14" s="91"/>
      <c r="AG14" s="82"/>
      <c r="AH14" s="91"/>
      <c r="AI14" s="82"/>
      <c r="AJ14" s="91">
        <v>305</v>
      </c>
      <c r="AK14" s="82">
        <v>2193</v>
      </c>
      <c r="AL14" s="602"/>
      <c r="AM14" s="83"/>
      <c r="AN14" s="183">
        <v>56469</v>
      </c>
      <c r="AO14" s="788">
        <v>107479</v>
      </c>
      <c r="AP14" s="180">
        <v>29133</v>
      </c>
      <c r="AQ14" s="101">
        <v>43326</v>
      </c>
      <c r="AR14" s="102">
        <v>2175</v>
      </c>
      <c r="AS14" s="103">
        <v>2275</v>
      </c>
      <c r="AT14" s="105"/>
      <c r="AU14" s="85"/>
      <c r="AV14" s="105">
        <f t="shared" si="2"/>
        <v>254182</v>
      </c>
      <c r="AW14" s="115">
        <f t="shared" si="1"/>
        <v>443085</v>
      </c>
      <c r="AX14" s="105">
        <v>48385</v>
      </c>
      <c r="AY14" s="103">
        <v>89160</v>
      </c>
      <c r="AZ14" s="105">
        <f t="shared" si="3"/>
        <v>302567</v>
      </c>
      <c r="BA14" s="117">
        <f t="shared" si="4"/>
        <v>532245</v>
      </c>
    </row>
    <row r="15" spans="1:53" s="78" customFormat="1" ht="14.25">
      <c r="A15" s="107" t="s">
        <v>40</v>
      </c>
      <c r="B15" s="112">
        <v>219</v>
      </c>
      <c r="C15" s="79">
        <v>-405</v>
      </c>
      <c r="D15" s="113">
        <v>1853</v>
      </c>
      <c r="E15" s="82">
        <v>2682</v>
      </c>
      <c r="F15" s="114"/>
      <c r="G15" s="86"/>
      <c r="H15" s="114">
        <v>18922</v>
      </c>
      <c r="I15" s="86">
        <v>35934</v>
      </c>
      <c r="J15" s="114">
        <v>1929</v>
      </c>
      <c r="K15" s="86">
        <v>7915</v>
      </c>
      <c r="L15" s="114">
        <v>1000</v>
      </c>
      <c r="M15" s="114">
        <v>1900</v>
      </c>
      <c r="N15" s="114">
        <v>25082</v>
      </c>
      <c r="O15" s="598">
        <v>26484</v>
      </c>
      <c r="P15" s="113">
        <v>-1252</v>
      </c>
      <c r="Q15" s="82">
        <v>3748</v>
      </c>
      <c r="R15" s="80"/>
      <c r="S15" s="82"/>
      <c r="T15" s="80">
        <v>3865</v>
      </c>
      <c r="U15" s="82">
        <v>9339</v>
      </c>
      <c r="V15" s="84">
        <v>90622</v>
      </c>
      <c r="W15" s="86">
        <v>214806</v>
      </c>
      <c r="X15" s="80">
        <v>397818</v>
      </c>
      <c r="Y15" s="82">
        <v>742667</v>
      </c>
      <c r="Z15" s="87"/>
      <c r="AA15" s="88"/>
      <c r="AB15" s="80">
        <v>4003</v>
      </c>
      <c r="AC15" s="82">
        <v>11771</v>
      </c>
      <c r="AD15" s="80"/>
      <c r="AE15" s="82"/>
      <c r="AF15" s="80">
        <v>59028</v>
      </c>
      <c r="AG15" s="82">
        <v>104619</v>
      </c>
      <c r="AH15" s="80">
        <v>21464</v>
      </c>
      <c r="AI15" s="82">
        <v>46426</v>
      </c>
      <c r="AJ15" s="80">
        <v>4858</v>
      </c>
      <c r="AK15" s="82">
        <v>11868</v>
      </c>
      <c r="AL15" s="602"/>
      <c r="AM15" s="83"/>
      <c r="AN15" s="183">
        <v>3118</v>
      </c>
      <c r="AO15" s="788">
        <v>15178</v>
      </c>
      <c r="AP15" s="180"/>
      <c r="AQ15" s="101"/>
      <c r="AR15" s="102">
        <v>9616</v>
      </c>
      <c r="AS15" s="103">
        <v>33051</v>
      </c>
      <c r="AT15" s="84">
        <v>1497</v>
      </c>
      <c r="AU15" s="85">
        <v>5706</v>
      </c>
      <c r="AV15" s="105">
        <f t="shared" si="2"/>
        <v>643642</v>
      </c>
      <c r="AW15" s="115">
        <f t="shared" si="1"/>
        <v>1273689</v>
      </c>
      <c r="AX15" s="84">
        <f>18618+51698+32719+4812</f>
        <v>107847</v>
      </c>
      <c r="AY15" s="103">
        <f>59519+97118+75435+11712</f>
        <v>243784</v>
      </c>
      <c r="AZ15" s="105">
        <f t="shared" si="3"/>
        <v>751489</v>
      </c>
      <c r="BA15" s="117">
        <f t="shared" si="4"/>
        <v>1517473</v>
      </c>
    </row>
    <row r="16" spans="1:53" s="78" customFormat="1" ht="14.25">
      <c r="A16" s="107" t="s">
        <v>41</v>
      </c>
      <c r="B16" s="112"/>
      <c r="C16" s="79"/>
      <c r="D16" s="113"/>
      <c r="E16" s="82"/>
      <c r="F16" s="114"/>
      <c r="G16" s="86"/>
      <c r="H16" s="114"/>
      <c r="I16" s="86"/>
      <c r="J16" s="114"/>
      <c r="K16" s="86"/>
      <c r="L16" s="114"/>
      <c r="M16" s="86"/>
      <c r="N16" s="114"/>
      <c r="O16" s="598"/>
      <c r="P16" s="113"/>
      <c r="Q16" s="82"/>
      <c r="R16" s="80"/>
      <c r="S16" s="82"/>
      <c r="T16" s="80"/>
      <c r="U16" s="82"/>
      <c r="V16" s="84"/>
      <c r="W16" s="86"/>
      <c r="X16" s="80"/>
      <c r="Y16" s="82"/>
      <c r="Z16" s="87"/>
      <c r="AA16" s="88"/>
      <c r="AB16" s="80"/>
      <c r="AC16" s="82"/>
      <c r="AD16" s="80"/>
      <c r="AE16" s="82"/>
      <c r="AF16" s="80"/>
      <c r="AG16" s="82"/>
      <c r="AH16" s="80"/>
      <c r="AI16" s="82"/>
      <c r="AJ16" s="80"/>
      <c r="AK16" s="82"/>
      <c r="AL16" s="602"/>
      <c r="AM16" s="83"/>
      <c r="AN16" s="183"/>
      <c r="AO16" s="788"/>
      <c r="AP16" s="180"/>
      <c r="AQ16" s="101"/>
      <c r="AR16" s="102"/>
      <c r="AS16" s="103"/>
      <c r="AT16" s="84"/>
      <c r="AU16" s="85"/>
      <c r="AV16" s="105"/>
      <c r="AW16" s="115">
        <f t="shared" si="1"/>
        <v>0</v>
      </c>
      <c r="AX16" s="84"/>
      <c r="AY16" s="103"/>
      <c r="AZ16" s="105">
        <f t="shared" si="3"/>
        <v>0</v>
      </c>
      <c r="BA16" s="117">
        <f t="shared" si="4"/>
        <v>0</v>
      </c>
    </row>
    <row r="17" spans="1:53" s="78" customFormat="1" ht="14.25">
      <c r="A17" s="107" t="s">
        <v>42</v>
      </c>
      <c r="B17" s="112"/>
      <c r="C17" s="79"/>
      <c r="D17" s="113"/>
      <c r="E17" s="82"/>
      <c r="F17" s="114"/>
      <c r="G17" s="86"/>
      <c r="H17" s="114"/>
      <c r="I17" s="86"/>
      <c r="J17" s="114"/>
      <c r="K17" s="86"/>
      <c r="L17" s="114"/>
      <c r="M17" s="86"/>
      <c r="N17" s="114"/>
      <c r="O17" s="598"/>
      <c r="P17" s="113"/>
      <c r="Q17" s="82"/>
      <c r="R17" s="80"/>
      <c r="S17" s="82"/>
      <c r="T17" s="80"/>
      <c r="U17" s="82"/>
      <c r="V17" s="84"/>
      <c r="W17" s="86"/>
      <c r="X17" s="80"/>
      <c r="Y17" s="82"/>
      <c r="Z17" s="87"/>
      <c r="AA17" s="88"/>
      <c r="AB17" s="80"/>
      <c r="AC17" s="82"/>
      <c r="AD17" s="80"/>
      <c r="AE17" s="82"/>
      <c r="AF17" s="80">
        <v>2994075</v>
      </c>
      <c r="AG17" s="82">
        <v>7781158</v>
      </c>
      <c r="AH17" s="80"/>
      <c r="AI17" s="82"/>
      <c r="AJ17" s="80"/>
      <c r="AK17" s="82"/>
      <c r="AL17" s="602"/>
      <c r="AM17" s="83"/>
      <c r="AN17" s="183"/>
      <c r="AO17" s="788"/>
      <c r="AP17" s="180">
        <v>912</v>
      </c>
      <c r="AQ17" s="101">
        <v>2388</v>
      </c>
      <c r="AR17" s="102"/>
      <c r="AS17" s="103"/>
      <c r="AT17" s="84"/>
      <c r="AU17" s="85"/>
      <c r="AV17" s="105">
        <f aca="true" t="shared" si="5" ref="AV17:AV22">SUM(B17+D17+F17+H17+J17+L17+N17+P17+R17+T17+V17+X17+Z17+AB17+AD17+AF17+AH17+AJ17+AL17+AN17+AP17+AR17+AT17)</f>
        <v>2994987</v>
      </c>
      <c r="AW17" s="115">
        <f t="shared" si="1"/>
        <v>7783546</v>
      </c>
      <c r="AX17" s="84"/>
      <c r="AY17" s="103"/>
      <c r="AZ17" s="105">
        <f t="shared" si="3"/>
        <v>2994987</v>
      </c>
      <c r="BA17" s="117">
        <f t="shared" si="4"/>
        <v>7783546</v>
      </c>
    </row>
    <row r="18" spans="1:53" s="78" customFormat="1" ht="14.25">
      <c r="A18" s="107" t="s">
        <v>43</v>
      </c>
      <c r="B18" s="112"/>
      <c r="C18" s="79"/>
      <c r="D18" s="113"/>
      <c r="E18" s="82"/>
      <c r="F18" s="114"/>
      <c r="G18" s="86"/>
      <c r="H18" s="114"/>
      <c r="I18" s="86"/>
      <c r="J18" s="114"/>
      <c r="K18" s="86"/>
      <c r="L18" s="114"/>
      <c r="M18" s="86"/>
      <c r="N18" s="114"/>
      <c r="O18" s="598"/>
      <c r="P18" s="113"/>
      <c r="Q18" s="82"/>
      <c r="R18" s="80"/>
      <c r="S18" s="82"/>
      <c r="T18" s="80"/>
      <c r="U18" s="82"/>
      <c r="V18" s="84">
        <v>604322</v>
      </c>
      <c r="W18" s="86">
        <v>1171830</v>
      </c>
      <c r="X18" s="80"/>
      <c r="Y18" s="82"/>
      <c r="Z18" s="87"/>
      <c r="AA18" s="88"/>
      <c r="AB18" s="80"/>
      <c r="AC18" s="82"/>
      <c r="AD18" s="80"/>
      <c r="AE18" s="82"/>
      <c r="AF18" s="80"/>
      <c r="AG18" s="82"/>
      <c r="AH18" s="80"/>
      <c r="AI18" s="82"/>
      <c r="AJ18" s="80"/>
      <c r="AK18" s="82"/>
      <c r="AL18" s="602"/>
      <c r="AM18" s="83"/>
      <c r="AN18" s="183"/>
      <c r="AO18" s="788"/>
      <c r="AP18" s="180"/>
      <c r="AQ18" s="101"/>
      <c r="AR18" s="102"/>
      <c r="AS18" s="103"/>
      <c r="AT18" s="84"/>
      <c r="AU18" s="85"/>
      <c r="AV18" s="105">
        <f t="shared" si="5"/>
        <v>604322</v>
      </c>
      <c r="AW18" s="115">
        <f t="shared" si="1"/>
        <v>1171830</v>
      </c>
      <c r="AX18" s="84"/>
      <c r="AY18" s="103"/>
      <c r="AZ18" s="105">
        <f t="shared" si="3"/>
        <v>604322</v>
      </c>
      <c r="BA18" s="117">
        <f t="shared" si="4"/>
        <v>1171830</v>
      </c>
    </row>
    <row r="19" spans="1:53" s="78" customFormat="1" ht="14.25">
      <c r="A19" s="107" t="s">
        <v>44</v>
      </c>
      <c r="B19" s="112"/>
      <c r="C19" s="79"/>
      <c r="D19" s="113"/>
      <c r="E19" s="82"/>
      <c r="F19" s="114"/>
      <c r="G19" s="86"/>
      <c r="H19" s="114"/>
      <c r="I19" s="86"/>
      <c r="J19" s="114"/>
      <c r="K19" s="86"/>
      <c r="L19" s="114"/>
      <c r="M19" s="86"/>
      <c r="N19" s="114"/>
      <c r="O19" s="598"/>
      <c r="P19" s="113"/>
      <c r="Q19" s="82"/>
      <c r="R19" s="80"/>
      <c r="S19" s="82"/>
      <c r="T19" s="80"/>
      <c r="U19" s="82"/>
      <c r="V19" s="84">
        <v>47469</v>
      </c>
      <c r="W19" s="86">
        <v>135127</v>
      </c>
      <c r="X19" s="80"/>
      <c r="Y19" s="82"/>
      <c r="Z19" s="87"/>
      <c r="AA19" s="88"/>
      <c r="AB19" s="80"/>
      <c r="AC19" s="82"/>
      <c r="AD19" s="80"/>
      <c r="AE19" s="82"/>
      <c r="AF19" s="80"/>
      <c r="AG19" s="82"/>
      <c r="AH19" s="80"/>
      <c r="AI19" s="82"/>
      <c r="AJ19" s="80"/>
      <c r="AK19" s="82"/>
      <c r="AL19" s="602"/>
      <c r="AM19" s="83"/>
      <c r="AN19" s="183"/>
      <c r="AO19" s="788"/>
      <c r="AP19" s="180"/>
      <c r="AQ19" s="101"/>
      <c r="AR19" s="102"/>
      <c r="AS19" s="103"/>
      <c r="AT19" s="84"/>
      <c r="AU19" s="85"/>
      <c r="AV19" s="105">
        <f t="shared" si="5"/>
        <v>47469</v>
      </c>
      <c r="AW19" s="115">
        <f t="shared" si="1"/>
        <v>135127</v>
      </c>
      <c r="AX19" s="84"/>
      <c r="AY19" s="103"/>
      <c r="AZ19" s="105">
        <f t="shared" si="3"/>
        <v>47469</v>
      </c>
      <c r="BA19" s="117">
        <f t="shared" si="4"/>
        <v>135127</v>
      </c>
    </row>
    <row r="20" spans="1:53" s="78" customFormat="1" ht="14.25">
      <c r="A20" s="107" t="s">
        <v>45</v>
      </c>
      <c r="B20" s="112"/>
      <c r="C20" s="79"/>
      <c r="D20" s="113"/>
      <c r="E20" s="82"/>
      <c r="F20" s="114"/>
      <c r="G20" s="86"/>
      <c r="H20" s="114">
        <v>66829</v>
      </c>
      <c r="I20" s="86">
        <v>101053</v>
      </c>
      <c r="J20" s="114"/>
      <c r="K20" s="86"/>
      <c r="L20" s="114"/>
      <c r="M20" s="86"/>
      <c r="N20" s="114">
        <v>2715</v>
      </c>
      <c r="O20" s="598">
        <v>5923</v>
      </c>
      <c r="P20" s="113">
        <v>318</v>
      </c>
      <c r="Q20" s="82">
        <v>915</v>
      </c>
      <c r="R20" s="80"/>
      <c r="S20" s="82"/>
      <c r="T20" s="80"/>
      <c r="U20" s="82"/>
      <c r="V20" s="84">
        <v>66587</v>
      </c>
      <c r="W20" s="86">
        <v>198916</v>
      </c>
      <c r="X20" s="80">
        <v>98849</v>
      </c>
      <c r="Y20" s="82">
        <v>333999</v>
      </c>
      <c r="Z20" s="87"/>
      <c r="AA20" s="88"/>
      <c r="AB20" s="80"/>
      <c r="AC20" s="82"/>
      <c r="AD20" s="80">
        <v>3651</v>
      </c>
      <c r="AE20" s="82">
        <v>11068</v>
      </c>
      <c r="AF20" s="80"/>
      <c r="AG20" s="82"/>
      <c r="AH20" s="80">
        <v>21367</v>
      </c>
      <c r="AI20" s="82">
        <v>63988</v>
      </c>
      <c r="AJ20" s="80"/>
      <c r="AK20" s="82"/>
      <c r="AL20" s="602"/>
      <c r="AM20" s="83"/>
      <c r="AN20" s="183">
        <v>31940</v>
      </c>
      <c r="AO20" s="788">
        <v>103795</v>
      </c>
      <c r="AP20" s="180"/>
      <c r="AQ20" s="101"/>
      <c r="AR20" s="102"/>
      <c r="AS20" s="103"/>
      <c r="AT20" s="84">
        <v>11051</v>
      </c>
      <c r="AU20" s="85">
        <v>36426</v>
      </c>
      <c r="AV20" s="105">
        <f t="shared" si="5"/>
        <v>303307</v>
      </c>
      <c r="AW20" s="115">
        <f t="shared" si="1"/>
        <v>856083</v>
      </c>
      <c r="AX20" s="84">
        <v>2363003</v>
      </c>
      <c r="AY20" s="103">
        <v>6448376</v>
      </c>
      <c r="AZ20" s="105">
        <f t="shared" si="3"/>
        <v>2666310</v>
      </c>
      <c r="BA20" s="117">
        <f t="shared" si="4"/>
        <v>7304459</v>
      </c>
    </row>
    <row r="21" spans="1:53" s="78" customFormat="1" ht="14.25">
      <c r="A21" s="107" t="s">
        <v>46</v>
      </c>
      <c r="B21" s="112"/>
      <c r="C21" s="79"/>
      <c r="D21" s="113"/>
      <c r="E21" s="82"/>
      <c r="F21" s="114"/>
      <c r="G21" s="86"/>
      <c r="H21" s="114">
        <v>43565</v>
      </c>
      <c r="I21" s="86">
        <v>122805</v>
      </c>
      <c r="J21" s="114"/>
      <c r="K21" s="86"/>
      <c r="L21" s="114"/>
      <c r="M21" s="86"/>
      <c r="N21" s="114">
        <v>1473</v>
      </c>
      <c r="O21" s="598">
        <v>3481</v>
      </c>
      <c r="P21" s="113"/>
      <c r="Q21" s="82"/>
      <c r="R21" s="80"/>
      <c r="S21" s="82"/>
      <c r="T21" s="80"/>
      <c r="U21" s="82"/>
      <c r="V21" s="84"/>
      <c r="W21" s="86"/>
      <c r="X21" s="80"/>
      <c r="Y21" s="82"/>
      <c r="Z21" s="87"/>
      <c r="AA21" s="88"/>
      <c r="AB21" s="80">
        <v>1873</v>
      </c>
      <c r="AC21" s="82">
        <v>4484</v>
      </c>
      <c r="AD21" s="80"/>
      <c r="AE21" s="82"/>
      <c r="AF21" s="80"/>
      <c r="AG21" s="82"/>
      <c r="AH21" s="80"/>
      <c r="AI21" s="82"/>
      <c r="AJ21" s="80">
        <v>3369</v>
      </c>
      <c r="AK21" s="82">
        <v>7770</v>
      </c>
      <c r="AL21" s="602"/>
      <c r="AM21" s="83"/>
      <c r="AN21" s="183"/>
      <c r="AO21" s="788"/>
      <c r="AP21" s="180"/>
      <c r="AQ21" s="101"/>
      <c r="AR21" s="102"/>
      <c r="AS21" s="103"/>
      <c r="AT21" s="84"/>
      <c r="AU21" s="85"/>
      <c r="AV21" s="105">
        <f t="shared" si="5"/>
        <v>50280</v>
      </c>
      <c r="AW21" s="115">
        <f t="shared" si="1"/>
        <v>138540</v>
      </c>
      <c r="AX21" s="84"/>
      <c r="AY21" s="103"/>
      <c r="AZ21" s="105">
        <f t="shared" si="3"/>
        <v>50280</v>
      </c>
      <c r="BA21" s="117">
        <f t="shared" si="4"/>
        <v>138540</v>
      </c>
    </row>
    <row r="22" spans="1:53" s="78" customFormat="1" ht="14.25">
      <c r="A22" s="107" t="s">
        <v>47</v>
      </c>
      <c r="B22" s="112"/>
      <c r="C22" s="79"/>
      <c r="D22" s="113">
        <v>2439</v>
      </c>
      <c r="E22" s="82">
        <v>7774</v>
      </c>
      <c r="F22" s="114"/>
      <c r="G22" s="86"/>
      <c r="H22" s="114"/>
      <c r="I22" s="86"/>
      <c r="J22" s="114"/>
      <c r="K22" s="86"/>
      <c r="L22" s="114"/>
      <c r="M22" s="86"/>
      <c r="N22" s="114">
        <v>5115</v>
      </c>
      <c r="O22" s="598">
        <v>9970</v>
      </c>
      <c r="P22" s="113"/>
      <c r="Q22" s="82"/>
      <c r="R22" s="80"/>
      <c r="S22" s="82"/>
      <c r="T22" s="80">
        <f>89993-2324+2172+1710</f>
        <v>91551</v>
      </c>
      <c r="U22" s="82">
        <f>658746+4637+5669+401435</f>
        <v>1070487</v>
      </c>
      <c r="V22" s="84"/>
      <c r="W22" s="86"/>
      <c r="X22" s="80"/>
      <c r="Y22" s="82"/>
      <c r="Z22" s="87">
        <v>622</v>
      </c>
      <c r="AA22" s="88">
        <v>1352</v>
      </c>
      <c r="AB22" s="80"/>
      <c r="AC22" s="82"/>
      <c r="AD22" s="80">
        <v>-1990</v>
      </c>
      <c r="AE22" s="82">
        <v>2540</v>
      </c>
      <c r="AF22" s="80">
        <v>84938</v>
      </c>
      <c r="AG22" s="82">
        <v>207153</v>
      </c>
      <c r="AH22" s="80"/>
      <c r="AI22" s="82"/>
      <c r="AJ22" s="80">
        <v>32227</v>
      </c>
      <c r="AK22" s="82">
        <v>101815</v>
      </c>
      <c r="AL22" s="602"/>
      <c r="AM22" s="83"/>
      <c r="AN22" s="183">
        <v>6577</v>
      </c>
      <c r="AO22" s="788">
        <v>10799</v>
      </c>
      <c r="AP22" s="180">
        <v>6209</v>
      </c>
      <c r="AQ22" s="101">
        <v>14870</v>
      </c>
      <c r="AR22" s="102">
        <f>29601+2270+1892+1539-28</f>
        <v>35274</v>
      </c>
      <c r="AS22" s="103">
        <f>1721895+5779+2656+4551-20999</f>
        <v>1713882</v>
      </c>
      <c r="AT22" s="84">
        <v>181779</v>
      </c>
      <c r="AU22" s="85">
        <v>606433</v>
      </c>
      <c r="AV22" s="105">
        <f t="shared" si="5"/>
        <v>444741</v>
      </c>
      <c r="AW22" s="115">
        <f t="shared" si="1"/>
        <v>3747075</v>
      </c>
      <c r="AX22" s="84">
        <v>15405</v>
      </c>
      <c r="AY22" s="103">
        <v>39615</v>
      </c>
      <c r="AZ22" s="105">
        <f t="shared" si="3"/>
        <v>460146</v>
      </c>
      <c r="BA22" s="117">
        <f t="shared" si="4"/>
        <v>3786690</v>
      </c>
    </row>
    <row r="23" spans="1:53" s="78" customFormat="1" ht="14.25">
      <c r="A23" s="107" t="s">
        <v>48</v>
      </c>
      <c r="B23" s="112"/>
      <c r="C23" s="79"/>
      <c r="D23" s="113"/>
      <c r="E23" s="82"/>
      <c r="F23" s="114"/>
      <c r="G23" s="86"/>
      <c r="H23" s="114"/>
      <c r="I23" s="86"/>
      <c r="J23" s="114"/>
      <c r="K23" s="86"/>
      <c r="L23" s="114"/>
      <c r="M23" s="86"/>
      <c r="N23" s="114"/>
      <c r="O23" s="598"/>
      <c r="P23" s="113"/>
      <c r="Q23" s="82"/>
      <c r="R23" s="80"/>
      <c r="S23" s="82"/>
      <c r="T23" s="80"/>
      <c r="U23" s="82"/>
      <c r="V23" s="84"/>
      <c r="W23" s="86"/>
      <c r="X23" s="80"/>
      <c r="Y23" s="82"/>
      <c r="Z23" s="87"/>
      <c r="AA23" s="88"/>
      <c r="AB23" s="80"/>
      <c r="AC23" s="82"/>
      <c r="AD23" s="80"/>
      <c r="AE23" s="82"/>
      <c r="AF23" s="80"/>
      <c r="AG23" s="82"/>
      <c r="AH23" s="80"/>
      <c r="AI23" s="82"/>
      <c r="AJ23" s="80"/>
      <c r="AK23" s="82"/>
      <c r="AL23" s="602"/>
      <c r="AM23" s="83"/>
      <c r="AN23" s="84"/>
      <c r="AO23" s="788"/>
      <c r="AP23" s="180"/>
      <c r="AQ23" s="101"/>
      <c r="AR23" s="102"/>
      <c r="AS23" s="103"/>
      <c r="AT23" s="84"/>
      <c r="AU23" s="85"/>
      <c r="AV23" s="105"/>
      <c r="AW23" s="115">
        <f t="shared" si="1"/>
        <v>0</v>
      </c>
      <c r="AX23" s="84"/>
      <c r="AY23" s="103"/>
      <c r="AZ23" s="105"/>
      <c r="BA23" s="117"/>
    </row>
    <row r="24" spans="1:53" s="78" customFormat="1" ht="14.25">
      <c r="A24" s="107" t="s">
        <v>31</v>
      </c>
      <c r="B24" s="120">
        <v>-1089481</v>
      </c>
      <c r="C24" s="79">
        <v>-2525398</v>
      </c>
      <c r="D24" s="121">
        <v>-318212</v>
      </c>
      <c r="E24" s="82">
        <v>-601487</v>
      </c>
      <c r="F24" s="115"/>
      <c r="G24" s="86"/>
      <c r="H24" s="115">
        <v>-324175</v>
      </c>
      <c r="I24" s="86">
        <v>-804739</v>
      </c>
      <c r="J24" s="115">
        <v>-132716</v>
      </c>
      <c r="K24" s="86">
        <v>-244568</v>
      </c>
      <c r="L24" s="115">
        <v>-302527</v>
      </c>
      <c r="M24" s="115">
        <v>-669579</v>
      </c>
      <c r="N24" s="115">
        <v>-345431</v>
      </c>
      <c r="O24" s="598">
        <v>-785432</v>
      </c>
      <c r="P24" s="121">
        <v>-130612</v>
      </c>
      <c r="Q24" s="82">
        <v>-376506</v>
      </c>
      <c r="R24" s="91">
        <v>-281983</v>
      </c>
      <c r="S24" s="82">
        <v>-661279</v>
      </c>
      <c r="T24" s="91">
        <v>-245630</v>
      </c>
      <c r="U24" s="82">
        <v>-567260</v>
      </c>
      <c r="V24" s="105">
        <v>-2695554</v>
      </c>
      <c r="W24" s="86">
        <v>-5101943</v>
      </c>
      <c r="X24" s="91">
        <v>-2867169</v>
      </c>
      <c r="Y24" s="82">
        <v>-7239367</v>
      </c>
      <c r="Z24" s="87">
        <v>-72029</v>
      </c>
      <c r="AA24" s="88">
        <v>-260070</v>
      </c>
      <c r="AB24" s="91">
        <v>-472971</v>
      </c>
      <c r="AC24" s="82">
        <v>-1037119</v>
      </c>
      <c r="AD24" s="122">
        <v>-682310</v>
      </c>
      <c r="AE24" s="82">
        <v>-1658075</v>
      </c>
      <c r="AF24" s="91">
        <v>-1390858</v>
      </c>
      <c r="AG24" s="82">
        <v>-2892968</v>
      </c>
      <c r="AH24" s="91">
        <v>-737873</v>
      </c>
      <c r="AI24" s="82">
        <v>-1610223</v>
      </c>
      <c r="AJ24" s="91">
        <v>-96135</v>
      </c>
      <c r="AK24" s="82">
        <v>-185882</v>
      </c>
      <c r="AL24" s="602"/>
      <c r="AM24" s="83"/>
      <c r="AN24" s="183">
        <v>-1457146</v>
      </c>
      <c r="AO24" s="788">
        <v>-2769673</v>
      </c>
      <c r="AP24" s="180">
        <v>-18670</v>
      </c>
      <c r="AQ24" s="101">
        <v>-43614</v>
      </c>
      <c r="AR24" s="102">
        <v>-250164</v>
      </c>
      <c r="AS24" s="103">
        <v>-491680</v>
      </c>
      <c r="AT24" s="105">
        <v>-1226559</v>
      </c>
      <c r="AU24" s="85">
        <v>-2741043</v>
      </c>
      <c r="AV24" s="105">
        <f>SUM(B24+D24+F24+H24+J24+L24+N24+P24+R24+T24+V24+X24+Z24+AB24+AD24+AF24+AH24+AJ24+AL24+AN24+AP24+AR24+AT24)</f>
        <v>-15138205</v>
      </c>
      <c r="AW24" s="115">
        <f t="shared" si="1"/>
        <v>-33267905</v>
      </c>
      <c r="AX24" s="105">
        <v>-1827603</v>
      </c>
      <c r="AY24" s="103">
        <v>-2577525</v>
      </c>
      <c r="AZ24" s="105">
        <f>AV24+AX24</f>
        <v>-16965808</v>
      </c>
      <c r="BA24" s="117">
        <f>AW24+AY24</f>
        <v>-35845430</v>
      </c>
    </row>
    <row r="25" spans="1:53" s="78" customFormat="1" ht="14.25">
      <c r="A25" s="107" t="s">
        <v>32</v>
      </c>
      <c r="B25" s="112"/>
      <c r="C25" s="79"/>
      <c r="D25" s="113"/>
      <c r="E25" s="82"/>
      <c r="F25" s="114"/>
      <c r="G25" s="86"/>
      <c r="H25" s="114"/>
      <c r="I25" s="86"/>
      <c r="J25" s="114"/>
      <c r="K25" s="86"/>
      <c r="L25" s="114"/>
      <c r="M25" s="86"/>
      <c r="N25" s="114"/>
      <c r="O25" s="598"/>
      <c r="P25" s="113"/>
      <c r="Q25" s="82"/>
      <c r="R25" s="80"/>
      <c r="S25" s="82"/>
      <c r="T25" s="80"/>
      <c r="U25" s="82"/>
      <c r="V25" s="84"/>
      <c r="W25" s="86"/>
      <c r="X25" s="80"/>
      <c r="Y25" s="82"/>
      <c r="Z25" s="87"/>
      <c r="AA25" s="88"/>
      <c r="AB25" s="80"/>
      <c r="AC25" s="82"/>
      <c r="AD25" s="80"/>
      <c r="AE25" s="82"/>
      <c r="AF25" s="80"/>
      <c r="AG25" s="82"/>
      <c r="AH25" s="80"/>
      <c r="AI25" s="82"/>
      <c r="AJ25" s="80"/>
      <c r="AK25" s="82"/>
      <c r="AL25" s="602"/>
      <c r="AM25" s="83"/>
      <c r="AN25" s="84"/>
      <c r="AO25" s="788"/>
      <c r="AP25" s="180"/>
      <c r="AQ25" s="101"/>
      <c r="AR25" s="102"/>
      <c r="AS25" s="103"/>
      <c r="AT25" s="84"/>
      <c r="AU25" s="85"/>
      <c r="AV25" s="105"/>
      <c r="AW25" s="115">
        <f t="shared" si="1"/>
        <v>0</v>
      </c>
      <c r="AX25" s="102"/>
      <c r="AY25" s="103"/>
      <c r="AZ25" s="105"/>
      <c r="BA25" s="117"/>
    </row>
    <row r="26" spans="1:53" s="78" customFormat="1" ht="14.25">
      <c r="A26" s="107" t="s">
        <v>49</v>
      </c>
      <c r="B26" s="112"/>
      <c r="C26" s="79"/>
      <c r="D26" s="113"/>
      <c r="E26" s="82"/>
      <c r="F26" s="114"/>
      <c r="G26" s="86"/>
      <c r="H26" s="114"/>
      <c r="I26" s="86"/>
      <c r="J26" s="114"/>
      <c r="K26" s="86"/>
      <c r="L26" s="114"/>
      <c r="M26" s="86"/>
      <c r="N26" s="114"/>
      <c r="O26" s="598"/>
      <c r="P26" s="113"/>
      <c r="Q26" s="82"/>
      <c r="R26" s="80"/>
      <c r="S26" s="82"/>
      <c r="T26" s="80"/>
      <c r="U26" s="82"/>
      <c r="V26" s="84"/>
      <c r="W26" s="86"/>
      <c r="X26" s="80"/>
      <c r="Y26" s="82"/>
      <c r="Z26" s="87"/>
      <c r="AA26" s="88"/>
      <c r="AB26" s="80"/>
      <c r="AC26" s="82"/>
      <c r="AD26" s="80"/>
      <c r="AE26" s="82"/>
      <c r="AF26" s="80"/>
      <c r="AG26" s="82"/>
      <c r="AH26" s="80"/>
      <c r="AI26" s="82"/>
      <c r="AJ26" s="80"/>
      <c r="AK26" s="82"/>
      <c r="AL26" s="602"/>
      <c r="AM26" s="83"/>
      <c r="AN26" s="84"/>
      <c r="AO26" s="788"/>
      <c r="AP26" s="180"/>
      <c r="AQ26" s="101"/>
      <c r="AR26" s="102"/>
      <c r="AS26" s="103"/>
      <c r="AT26" s="84"/>
      <c r="AU26" s="85"/>
      <c r="AV26" s="105"/>
      <c r="AW26" s="115">
        <f t="shared" si="1"/>
        <v>0</v>
      </c>
      <c r="AX26" s="102"/>
      <c r="AY26" s="103"/>
      <c r="AZ26" s="105"/>
      <c r="BA26" s="117"/>
    </row>
    <row r="27" spans="1:53" s="78" customFormat="1" ht="14.25">
      <c r="A27" s="107" t="s">
        <v>50</v>
      </c>
      <c r="B27" s="112">
        <v>1058</v>
      </c>
      <c r="C27" s="79">
        <v>-8771</v>
      </c>
      <c r="D27" s="113">
        <v>-939</v>
      </c>
      <c r="E27" s="82">
        <v>-1207</v>
      </c>
      <c r="F27" s="114"/>
      <c r="G27" s="86"/>
      <c r="H27" s="114">
        <v>2040</v>
      </c>
      <c r="I27" s="86"/>
      <c r="J27" s="114">
        <v>-116</v>
      </c>
      <c r="K27" s="86">
        <v>-1807</v>
      </c>
      <c r="L27" s="114"/>
      <c r="M27" s="86"/>
      <c r="N27" s="114">
        <v>-175</v>
      </c>
      <c r="O27" s="598">
        <v>-450</v>
      </c>
      <c r="P27" s="113">
        <v>-1527</v>
      </c>
      <c r="Q27" s="82">
        <v>-3174</v>
      </c>
      <c r="R27" s="80"/>
      <c r="S27" s="82"/>
      <c r="T27" s="80">
        <v>-1494</v>
      </c>
      <c r="U27" s="82">
        <v>-4489</v>
      </c>
      <c r="V27" s="84">
        <v>-75465</v>
      </c>
      <c r="W27" s="86">
        <v>-158900</v>
      </c>
      <c r="X27" s="80">
        <v>-186252</v>
      </c>
      <c r="Y27" s="82">
        <v>-326894</v>
      </c>
      <c r="Z27" s="87"/>
      <c r="AA27" s="88"/>
      <c r="AB27" s="80">
        <v>-2419</v>
      </c>
      <c r="AC27" s="82">
        <v>-5871</v>
      </c>
      <c r="AD27" s="80"/>
      <c r="AE27" s="82"/>
      <c r="AF27" s="80">
        <v>-20157</v>
      </c>
      <c r="AG27" s="82">
        <v>-49071</v>
      </c>
      <c r="AH27" s="80">
        <v>-7312</v>
      </c>
      <c r="AI27" s="82">
        <v>-15090</v>
      </c>
      <c r="AJ27" s="80">
        <v>-1847</v>
      </c>
      <c r="AK27" s="82">
        <v>-2818</v>
      </c>
      <c r="AL27" s="602"/>
      <c r="AM27" s="83"/>
      <c r="AN27" s="183">
        <v>-741</v>
      </c>
      <c r="AO27" s="788">
        <v>-2908</v>
      </c>
      <c r="AP27" s="180"/>
      <c r="AQ27" s="101"/>
      <c r="AR27" s="102">
        <v>-3955</v>
      </c>
      <c r="AS27" s="103">
        <v>-15796</v>
      </c>
      <c r="AT27" s="84"/>
      <c r="AU27" s="85"/>
      <c r="AV27" s="105">
        <f>SUM(B27+D27+F27+H27+J27+L27+N27+P27+R27+T27+V27+X27+Z27+AB27+AD27+AF27+AH27+AJ27+AL27+AN27+AP27+AR27+AT27)</f>
        <v>-299301</v>
      </c>
      <c r="AW27" s="115">
        <f t="shared" si="1"/>
        <v>-597246</v>
      </c>
      <c r="AX27" s="102">
        <v>-63742</v>
      </c>
      <c r="AY27" s="103">
        <v>-155345</v>
      </c>
      <c r="AZ27" s="105">
        <f>AV27+AX27</f>
        <v>-363043</v>
      </c>
      <c r="BA27" s="117">
        <f>AW27+AY27</f>
        <v>-752591</v>
      </c>
    </row>
    <row r="28" spans="1:53" s="78" customFormat="1" ht="14.25">
      <c r="A28" s="107" t="s">
        <v>51</v>
      </c>
      <c r="B28" s="112"/>
      <c r="C28" s="79"/>
      <c r="D28" s="113">
        <v>-4225</v>
      </c>
      <c r="E28" s="82">
        <v>-8510</v>
      </c>
      <c r="F28" s="114"/>
      <c r="G28" s="86"/>
      <c r="H28" s="114">
        <v>15930</v>
      </c>
      <c r="I28" s="86">
        <v>-2985</v>
      </c>
      <c r="J28" s="114"/>
      <c r="K28" s="86"/>
      <c r="L28" s="114"/>
      <c r="M28" s="86"/>
      <c r="N28" s="114"/>
      <c r="O28" s="598"/>
      <c r="P28" s="113"/>
      <c r="Q28" s="82"/>
      <c r="R28" s="80"/>
      <c r="S28" s="82"/>
      <c r="T28" s="80"/>
      <c r="U28" s="82"/>
      <c r="V28" s="84"/>
      <c r="W28" s="86"/>
      <c r="X28" s="80"/>
      <c r="Y28" s="82"/>
      <c r="Z28" s="87"/>
      <c r="AA28" s="88"/>
      <c r="AB28" s="80"/>
      <c r="AC28" s="82"/>
      <c r="AD28" s="80">
        <v>-984</v>
      </c>
      <c r="AE28" s="82">
        <v>-984</v>
      </c>
      <c r="AF28" s="80"/>
      <c r="AG28" s="82"/>
      <c r="AH28" s="80"/>
      <c r="AI28" s="82"/>
      <c r="AJ28" s="80"/>
      <c r="AK28" s="82"/>
      <c r="AL28" s="602"/>
      <c r="AM28" s="83"/>
      <c r="AN28" s="183"/>
      <c r="AO28" s="788"/>
      <c r="AP28" s="180"/>
      <c r="AQ28" s="101"/>
      <c r="AR28" s="102"/>
      <c r="AS28" s="103"/>
      <c r="AT28" s="84"/>
      <c r="AU28" s="85"/>
      <c r="AV28" s="105">
        <f>SUM(B28+D28+F28+H28+J28+L28+N28+P28+R28+T28+V28+X28+Z28+AB28+AD28+AF28+AH28+AJ28+AL28+AN28+AP28+AR28+AT28)</f>
        <v>10721</v>
      </c>
      <c r="AW28" s="115">
        <f t="shared" si="1"/>
        <v>-12479</v>
      </c>
      <c r="AX28" s="102"/>
      <c r="AY28" s="103"/>
      <c r="AZ28" s="105">
        <f>AV28+AX28</f>
        <v>10721</v>
      </c>
      <c r="BA28" s="117">
        <f>AW28+AY28</f>
        <v>-12479</v>
      </c>
    </row>
    <row r="29" spans="1:53" s="78" customFormat="1" ht="14.25">
      <c r="A29" s="107" t="s">
        <v>52</v>
      </c>
      <c r="B29" s="120"/>
      <c r="C29" s="79"/>
      <c r="D29" s="121"/>
      <c r="E29" s="82"/>
      <c r="F29" s="115"/>
      <c r="G29" s="86"/>
      <c r="H29" s="115"/>
      <c r="I29" s="86"/>
      <c r="J29" s="115"/>
      <c r="K29" s="86"/>
      <c r="L29" s="115"/>
      <c r="M29" s="86"/>
      <c r="N29" s="115"/>
      <c r="O29" s="598"/>
      <c r="P29" s="121"/>
      <c r="Q29" s="82"/>
      <c r="R29" s="91"/>
      <c r="S29" s="82"/>
      <c r="T29" s="91"/>
      <c r="U29" s="82"/>
      <c r="V29" s="105"/>
      <c r="W29" s="86"/>
      <c r="X29" s="91"/>
      <c r="Y29" s="82"/>
      <c r="Z29" s="87"/>
      <c r="AA29" s="88"/>
      <c r="AB29" s="91"/>
      <c r="AC29" s="82"/>
      <c r="AD29" s="122"/>
      <c r="AE29" s="82"/>
      <c r="AF29" s="91"/>
      <c r="AG29" s="82"/>
      <c r="AH29" s="91"/>
      <c r="AI29" s="82"/>
      <c r="AJ29" s="91"/>
      <c r="AK29" s="82"/>
      <c r="AL29" s="602"/>
      <c r="AM29" s="83"/>
      <c r="AN29" s="84"/>
      <c r="AO29" s="86"/>
      <c r="AP29" s="180"/>
      <c r="AQ29" s="101"/>
      <c r="AR29" s="102"/>
      <c r="AS29" s="103"/>
      <c r="AT29" s="105"/>
      <c r="AU29" s="109"/>
      <c r="AV29" s="105"/>
      <c r="AW29" s="115">
        <f t="shared" si="1"/>
        <v>0</v>
      </c>
      <c r="AX29" s="105"/>
      <c r="AY29" s="109"/>
      <c r="AZ29" s="105"/>
      <c r="BA29" s="117"/>
    </row>
    <row r="30" spans="1:53" s="78" customFormat="1" ht="14.25">
      <c r="A30" s="107" t="s">
        <v>31</v>
      </c>
      <c r="B30" s="112"/>
      <c r="C30" s="79"/>
      <c r="D30" s="113"/>
      <c r="E30" s="82"/>
      <c r="F30" s="114"/>
      <c r="G30" s="86"/>
      <c r="H30" s="114"/>
      <c r="I30" s="86"/>
      <c r="J30" s="114"/>
      <c r="K30" s="86"/>
      <c r="L30" s="114"/>
      <c r="M30" s="86"/>
      <c r="N30" s="114"/>
      <c r="O30" s="598"/>
      <c r="P30" s="113"/>
      <c r="Q30" s="82"/>
      <c r="R30" s="80"/>
      <c r="S30" s="82"/>
      <c r="T30" s="80"/>
      <c r="U30" s="82"/>
      <c r="V30" s="84"/>
      <c r="W30" s="86"/>
      <c r="X30" s="80"/>
      <c r="Y30" s="82"/>
      <c r="Z30" s="87"/>
      <c r="AA30" s="88"/>
      <c r="AB30" s="80"/>
      <c r="AC30" s="82"/>
      <c r="AD30" s="80"/>
      <c r="AE30" s="82"/>
      <c r="AF30" s="80"/>
      <c r="AG30" s="82"/>
      <c r="AH30" s="80"/>
      <c r="AI30" s="82"/>
      <c r="AJ30" s="80"/>
      <c r="AK30" s="82"/>
      <c r="AL30" s="602"/>
      <c r="AM30" s="83"/>
      <c r="AN30" s="84"/>
      <c r="AO30" s="86"/>
      <c r="AP30" s="180"/>
      <c r="AQ30" s="101"/>
      <c r="AR30" s="102"/>
      <c r="AS30" s="103"/>
      <c r="AT30" s="84"/>
      <c r="AU30" s="85"/>
      <c r="AV30" s="105">
        <f>SUM(B30+D30+F30+H30+J30+L30+N30+P30+R30+T30+V30+X30+Z30+AB30+AD30+AF30+AH30+AJ30+AL30+AN30+AP30+AR30+AT30)</f>
        <v>0</v>
      </c>
      <c r="AW30" s="115">
        <f t="shared" si="1"/>
        <v>0</v>
      </c>
      <c r="AX30" s="102"/>
      <c r="AY30" s="103"/>
      <c r="AZ30" s="105">
        <f>AV30+AX30</f>
        <v>0</v>
      </c>
      <c r="BA30" s="117">
        <f>AW30+AY30</f>
        <v>0</v>
      </c>
    </row>
    <row r="31" spans="1:53" s="78" customFormat="1" ht="14.25">
      <c r="A31" s="107" t="s">
        <v>32</v>
      </c>
      <c r="B31" s="112"/>
      <c r="C31" s="79"/>
      <c r="D31" s="113"/>
      <c r="E31" s="82"/>
      <c r="F31" s="114"/>
      <c r="G31" s="86"/>
      <c r="H31" s="114"/>
      <c r="I31" s="86"/>
      <c r="J31" s="114"/>
      <c r="K31" s="86"/>
      <c r="L31" s="114"/>
      <c r="M31" s="86"/>
      <c r="N31" s="114"/>
      <c r="O31" s="598"/>
      <c r="P31" s="113"/>
      <c r="Q31" s="82"/>
      <c r="R31" s="80"/>
      <c r="S31" s="82"/>
      <c r="T31" s="80"/>
      <c r="U31" s="82"/>
      <c r="V31" s="84"/>
      <c r="W31" s="86"/>
      <c r="X31" s="80"/>
      <c r="Y31" s="82"/>
      <c r="Z31" s="87"/>
      <c r="AA31" s="88"/>
      <c r="AB31" s="80"/>
      <c r="AC31" s="82"/>
      <c r="AD31" s="80"/>
      <c r="AE31" s="82"/>
      <c r="AF31" s="80"/>
      <c r="AG31" s="82"/>
      <c r="AH31" s="80"/>
      <c r="AI31" s="82"/>
      <c r="AJ31" s="80"/>
      <c r="AK31" s="82"/>
      <c r="AL31" s="602"/>
      <c r="AM31" s="83"/>
      <c r="AN31" s="84"/>
      <c r="AO31" s="86"/>
      <c r="AP31" s="180"/>
      <c r="AQ31" s="101"/>
      <c r="AR31" s="102"/>
      <c r="AS31" s="103"/>
      <c r="AT31" s="84"/>
      <c r="AU31" s="85"/>
      <c r="AV31" s="105"/>
      <c r="AW31" s="115">
        <f t="shared" si="1"/>
        <v>0</v>
      </c>
      <c r="AX31" s="102"/>
      <c r="AY31" s="103"/>
      <c r="AZ31" s="105"/>
      <c r="BA31" s="117"/>
    </row>
    <row r="32" spans="1:53" s="78" customFormat="1" ht="14.25">
      <c r="A32" s="107" t="s">
        <v>49</v>
      </c>
      <c r="B32" s="112"/>
      <c r="C32" s="79"/>
      <c r="D32" s="113"/>
      <c r="E32" s="82"/>
      <c r="F32" s="114"/>
      <c r="G32" s="86"/>
      <c r="H32" s="114"/>
      <c r="I32" s="86"/>
      <c r="J32" s="114"/>
      <c r="K32" s="86"/>
      <c r="L32" s="114"/>
      <c r="M32" s="86"/>
      <c r="N32" s="114"/>
      <c r="O32" s="598"/>
      <c r="P32" s="113"/>
      <c r="Q32" s="82"/>
      <c r="R32" s="80"/>
      <c r="S32" s="82"/>
      <c r="T32" s="80"/>
      <c r="U32" s="82"/>
      <c r="V32" s="84"/>
      <c r="W32" s="86"/>
      <c r="X32" s="80"/>
      <c r="Y32" s="82"/>
      <c r="Z32" s="87"/>
      <c r="AA32" s="88"/>
      <c r="AB32" s="80"/>
      <c r="AC32" s="82"/>
      <c r="AD32" s="80"/>
      <c r="AE32" s="82"/>
      <c r="AF32" s="80"/>
      <c r="AG32" s="82"/>
      <c r="AH32" s="80"/>
      <c r="AI32" s="82"/>
      <c r="AJ32" s="80"/>
      <c r="AK32" s="82"/>
      <c r="AL32" s="602"/>
      <c r="AM32" s="83"/>
      <c r="AN32" s="84"/>
      <c r="AO32" s="86"/>
      <c r="AP32" s="180"/>
      <c r="AQ32" s="101"/>
      <c r="AR32" s="102"/>
      <c r="AS32" s="103"/>
      <c r="AT32" s="84"/>
      <c r="AU32" s="85"/>
      <c r="AV32" s="105"/>
      <c r="AW32" s="115"/>
      <c r="AX32" s="102"/>
      <c r="AY32" s="103"/>
      <c r="AZ32" s="105"/>
      <c r="BA32" s="117"/>
    </row>
    <row r="33" spans="1:53" s="78" customFormat="1" ht="15" thickBot="1">
      <c r="A33" s="147" t="s">
        <v>53</v>
      </c>
      <c r="B33" s="123"/>
      <c r="C33" s="823"/>
      <c r="D33" s="124"/>
      <c r="E33" s="817"/>
      <c r="F33" s="125"/>
      <c r="G33" s="816"/>
      <c r="H33" s="125">
        <v>-365</v>
      </c>
      <c r="I33" s="816">
        <v>-605</v>
      </c>
      <c r="J33" s="125"/>
      <c r="K33" s="816"/>
      <c r="L33" s="125"/>
      <c r="M33" s="816"/>
      <c r="N33" s="125"/>
      <c r="O33" s="821"/>
      <c r="P33" s="124"/>
      <c r="Q33" s="817"/>
      <c r="R33" s="127"/>
      <c r="S33" s="817"/>
      <c r="T33" s="127"/>
      <c r="U33" s="817"/>
      <c r="V33" s="128"/>
      <c r="W33" s="816"/>
      <c r="X33" s="127"/>
      <c r="Y33" s="817"/>
      <c r="Z33" s="129"/>
      <c r="AA33" s="820"/>
      <c r="AB33" s="127"/>
      <c r="AC33" s="817"/>
      <c r="AD33" s="127"/>
      <c r="AE33" s="817"/>
      <c r="AF33" s="127"/>
      <c r="AG33" s="817"/>
      <c r="AH33" s="127"/>
      <c r="AI33" s="817"/>
      <c r="AJ33" s="127"/>
      <c r="AK33" s="817"/>
      <c r="AL33" s="724"/>
      <c r="AM33" s="819"/>
      <c r="AN33" s="128"/>
      <c r="AO33" s="816"/>
      <c r="AP33" s="181"/>
      <c r="AQ33" s="130"/>
      <c r="AR33" s="131"/>
      <c r="AS33" s="132"/>
      <c r="AT33" s="128"/>
      <c r="AU33" s="126"/>
      <c r="AV33" s="133"/>
      <c r="AW33" s="134"/>
      <c r="AX33" s="131"/>
      <c r="AY33" s="132"/>
      <c r="AZ33" s="133"/>
      <c r="BA33" s="812"/>
    </row>
    <row r="34" spans="1:53" s="412" customFormat="1" ht="15" thickBot="1">
      <c r="A34" s="411" t="s">
        <v>54</v>
      </c>
      <c r="B34" s="781">
        <f>SUM(B6:B33)</f>
        <v>13127181</v>
      </c>
      <c r="C34" s="815">
        <f aca="true" t="shared" si="6" ref="C34:AH34">SUM(C6:C33)</f>
        <v>30130450</v>
      </c>
      <c r="D34" s="783">
        <f t="shared" si="6"/>
        <v>858654</v>
      </c>
      <c r="E34" s="815">
        <f t="shared" si="6"/>
        <v>1764953</v>
      </c>
      <c r="F34" s="783">
        <f t="shared" si="6"/>
        <v>0</v>
      </c>
      <c r="G34" s="815">
        <f t="shared" si="6"/>
        <v>0</v>
      </c>
      <c r="H34" s="783">
        <f t="shared" si="6"/>
        <v>17859672</v>
      </c>
      <c r="I34" s="815">
        <f t="shared" si="6"/>
        <v>38148668</v>
      </c>
      <c r="J34" s="783">
        <f t="shared" si="6"/>
        <v>1680823</v>
      </c>
      <c r="K34" s="815">
        <f t="shared" si="6"/>
        <v>3643473</v>
      </c>
      <c r="L34" s="783">
        <f t="shared" si="6"/>
        <v>4487763</v>
      </c>
      <c r="M34" s="815">
        <f t="shared" si="6"/>
        <v>12003681</v>
      </c>
      <c r="N34" s="783">
        <f t="shared" si="6"/>
        <v>1236691</v>
      </c>
      <c r="O34" s="815">
        <f t="shared" si="6"/>
        <v>2439383</v>
      </c>
      <c r="P34" s="783">
        <f t="shared" si="6"/>
        <v>389068</v>
      </c>
      <c r="Q34" s="815">
        <f t="shared" si="6"/>
        <v>977455</v>
      </c>
      <c r="R34" s="783">
        <f t="shared" si="6"/>
        <v>4196594</v>
      </c>
      <c r="S34" s="815">
        <f t="shared" si="6"/>
        <v>10866850</v>
      </c>
      <c r="T34" s="783">
        <f t="shared" si="6"/>
        <v>1295355</v>
      </c>
      <c r="U34" s="815">
        <f t="shared" si="6"/>
        <v>3575735</v>
      </c>
      <c r="V34" s="783">
        <f t="shared" si="6"/>
        <v>60160410</v>
      </c>
      <c r="W34" s="815">
        <f t="shared" si="6"/>
        <v>132830567</v>
      </c>
      <c r="X34" s="783">
        <f t="shared" si="6"/>
        <v>67837460</v>
      </c>
      <c r="Y34" s="815">
        <f t="shared" si="6"/>
        <v>142456919</v>
      </c>
      <c r="Z34" s="783">
        <f t="shared" si="6"/>
        <v>2391283</v>
      </c>
      <c r="AA34" s="815">
        <f>SUM(AA6:AA33)</f>
        <v>6067266</v>
      </c>
      <c r="AB34" s="783">
        <f t="shared" si="6"/>
        <v>3691952</v>
      </c>
      <c r="AC34" s="815">
        <f t="shared" si="6"/>
        <v>27308029</v>
      </c>
      <c r="AD34" s="783">
        <f t="shared" si="6"/>
        <v>10511368</v>
      </c>
      <c r="AE34" s="815">
        <f t="shared" si="6"/>
        <v>26167931</v>
      </c>
      <c r="AF34" s="783">
        <f t="shared" si="6"/>
        <v>20109946</v>
      </c>
      <c r="AG34" s="815">
        <f t="shared" si="6"/>
        <v>46503793</v>
      </c>
      <c r="AH34" s="783">
        <f t="shared" si="6"/>
        <v>7238311</v>
      </c>
      <c r="AI34" s="815">
        <f aca="true" t="shared" si="7" ref="AI34:AS34">SUM(AI6:AI33)</f>
        <v>17753224</v>
      </c>
      <c r="AJ34" s="783">
        <f t="shared" si="7"/>
        <v>7310935</v>
      </c>
      <c r="AK34" s="818">
        <f t="shared" si="7"/>
        <v>17398958</v>
      </c>
      <c r="AL34" s="781">
        <f t="shared" si="7"/>
        <v>0</v>
      </c>
      <c r="AM34" s="815">
        <f t="shared" si="7"/>
        <v>0</v>
      </c>
      <c r="AN34" s="783">
        <f t="shared" si="7"/>
        <v>46218828</v>
      </c>
      <c r="AO34" s="815">
        <f t="shared" si="7"/>
        <v>138743207</v>
      </c>
      <c r="AP34" s="783">
        <f t="shared" si="7"/>
        <v>1660810</v>
      </c>
      <c r="AQ34" s="815">
        <f t="shared" si="7"/>
        <v>3467977</v>
      </c>
      <c r="AR34" s="783">
        <f t="shared" si="7"/>
        <v>2526814</v>
      </c>
      <c r="AS34" s="815">
        <f t="shared" si="7"/>
        <v>7682480</v>
      </c>
      <c r="AT34" s="783">
        <f>SUM(AT6:AT33)</f>
        <v>7389697</v>
      </c>
      <c r="AU34" s="815">
        <f>SUM(AU6:AU33)</f>
        <v>17780532</v>
      </c>
      <c r="AV34" s="405">
        <f>SUM(B34+D34+F34+H34+J34+L34+N34+P34+R34+T34+V34+X34+Z34+AB34+AD34+AF34+AH34+AJ34+AL34+AN34+AP34+AR34+AT34)</f>
        <v>282179615</v>
      </c>
      <c r="AW34" s="405">
        <f>SUM(C34+E34+G34+I34+K34+M34+O34+Q34+S34+U34+W34+Y34+AA34+AC34+AE34+AG34+AI34+AK34+AM34+AO34+AQ34+AS34+AU34)</f>
        <v>687711531</v>
      </c>
      <c r="AX34" s="404">
        <f>SUM(AX6:AX33)</f>
        <v>686991948</v>
      </c>
      <c r="AY34" s="785">
        <f>SUM(AY6:AY33)</f>
        <v>1825469717</v>
      </c>
      <c r="AZ34" s="404">
        <f>AV34+AX34</f>
        <v>969171563</v>
      </c>
      <c r="BA34" s="784">
        <f>AW34+AY34</f>
        <v>2513181248</v>
      </c>
    </row>
    <row r="35" spans="1:53" s="78" customFormat="1" ht="15" thickBot="1">
      <c r="A35" s="825" t="s">
        <v>55</v>
      </c>
      <c r="B35" s="824"/>
      <c r="C35" s="822"/>
      <c r="D35" s="725"/>
      <c r="E35" s="822"/>
      <c r="F35" s="434"/>
      <c r="G35" s="433"/>
      <c r="H35" s="139"/>
      <c r="I35" s="138"/>
      <c r="J35" s="434"/>
      <c r="K35" s="433"/>
      <c r="L35" s="139"/>
      <c r="M35" s="138"/>
      <c r="N35" s="139"/>
      <c r="O35" s="138"/>
      <c r="P35" s="136"/>
      <c r="Q35" s="137"/>
      <c r="R35" s="135"/>
      <c r="S35" s="137"/>
      <c r="T35" s="135"/>
      <c r="U35" s="137"/>
      <c r="V35" s="140"/>
      <c r="W35" s="138"/>
      <c r="X35" s="135"/>
      <c r="Y35" s="137"/>
      <c r="Z35" s="135"/>
      <c r="AA35" s="137"/>
      <c r="AB35" s="135"/>
      <c r="AC35" s="137"/>
      <c r="AD35" s="135"/>
      <c r="AE35" s="137"/>
      <c r="AF35" s="135"/>
      <c r="AG35" s="137"/>
      <c r="AH35" s="135"/>
      <c r="AI35" s="137"/>
      <c r="AJ35" s="135"/>
      <c r="AK35" s="137"/>
      <c r="AL35" s="725"/>
      <c r="AM35" s="184"/>
      <c r="AN35" s="139"/>
      <c r="AO35" s="139"/>
      <c r="AP35" s="139"/>
      <c r="AQ35" s="139"/>
      <c r="AR35" s="140"/>
      <c r="AS35" s="139"/>
      <c r="AT35" s="140"/>
      <c r="AU35" s="139"/>
      <c r="AV35" s="141"/>
      <c r="AW35" s="142"/>
      <c r="AX35" s="782"/>
      <c r="AY35" s="433"/>
      <c r="AZ35" s="141"/>
      <c r="BA35" s="813"/>
    </row>
    <row r="36" spans="1:53" s="78" customFormat="1" ht="15" thickBot="1">
      <c r="A36" s="825" t="s">
        <v>56</v>
      </c>
      <c r="B36" s="438">
        <f>B34</f>
        <v>13127181</v>
      </c>
      <c r="C36" s="444">
        <f aca="true" t="shared" si="8" ref="C36:AH36">C34</f>
        <v>30130450</v>
      </c>
      <c r="D36" s="441">
        <f t="shared" si="8"/>
        <v>858654</v>
      </c>
      <c r="E36" s="444">
        <f t="shared" si="8"/>
        <v>1764953</v>
      </c>
      <c r="F36" s="435">
        <f t="shared" si="8"/>
        <v>0</v>
      </c>
      <c r="G36" s="429">
        <f t="shared" si="8"/>
        <v>0</v>
      </c>
      <c r="H36" s="139">
        <f t="shared" si="8"/>
        <v>17859672</v>
      </c>
      <c r="I36" s="138">
        <f t="shared" si="8"/>
        <v>38148668</v>
      </c>
      <c r="J36" s="435">
        <f t="shared" si="8"/>
        <v>1680823</v>
      </c>
      <c r="K36" s="429">
        <f t="shared" si="8"/>
        <v>3643473</v>
      </c>
      <c r="L36" s="139">
        <f t="shared" si="8"/>
        <v>4487763</v>
      </c>
      <c r="M36" s="138">
        <f t="shared" si="8"/>
        <v>12003681</v>
      </c>
      <c r="N36" s="139">
        <f t="shared" si="8"/>
        <v>1236691</v>
      </c>
      <c r="O36" s="138">
        <f t="shared" si="8"/>
        <v>2439383</v>
      </c>
      <c r="P36" s="139">
        <f t="shared" si="8"/>
        <v>389068</v>
      </c>
      <c r="Q36" s="138">
        <f t="shared" si="8"/>
        <v>977455</v>
      </c>
      <c r="R36" s="140">
        <f t="shared" si="8"/>
        <v>4196594</v>
      </c>
      <c r="S36" s="138">
        <f t="shared" si="8"/>
        <v>10866850</v>
      </c>
      <c r="T36" s="140">
        <f t="shared" si="8"/>
        <v>1295355</v>
      </c>
      <c r="U36" s="138">
        <f t="shared" si="8"/>
        <v>3575735</v>
      </c>
      <c r="V36" s="140">
        <f t="shared" si="8"/>
        <v>60160410</v>
      </c>
      <c r="W36" s="723">
        <f t="shared" si="8"/>
        <v>132830567</v>
      </c>
      <c r="X36" s="140">
        <v>70890881</v>
      </c>
      <c r="Y36" s="723">
        <v>150023180</v>
      </c>
      <c r="Z36" s="140">
        <f t="shared" si="8"/>
        <v>2391283</v>
      </c>
      <c r="AA36" s="138">
        <f t="shared" si="8"/>
        <v>6067266</v>
      </c>
      <c r="AB36" s="140">
        <f t="shared" si="8"/>
        <v>3691952</v>
      </c>
      <c r="AC36" s="138">
        <f t="shared" si="8"/>
        <v>27308029</v>
      </c>
      <c r="AD36" s="140">
        <f t="shared" si="8"/>
        <v>10511368</v>
      </c>
      <c r="AE36" s="138">
        <f t="shared" si="8"/>
        <v>26167931</v>
      </c>
      <c r="AF36" s="140">
        <f t="shared" si="8"/>
        <v>20109946</v>
      </c>
      <c r="AG36" s="138">
        <f t="shared" si="8"/>
        <v>46503793</v>
      </c>
      <c r="AH36" s="140">
        <f t="shared" si="8"/>
        <v>7238311</v>
      </c>
      <c r="AI36" s="138">
        <f aca="true" t="shared" si="9" ref="AI36:AN36">AI34</f>
        <v>17753224</v>
      </c>
      <c r="AJ36" s="140">
        <f t="shared" si="9"/>
        <v>7310935</v>
      </c>
      <c r="AK36" s="97">
        <f t="shared" si="9"/>
        <v>17398958</v>
      </c>
      <c r="AL36" s="726">
        <f t="shared" si="9"/>
        <v>0</v>
      </c>
      <c r="AM36" s="636">
        <f t="shared" si="9"/>
        <v>0</v>
      </c>
      <c r="AN36" s="139">
        <f t="shared" si="9"/>
        <v>46218828</v>
      </c>
      <c r="AO36" s="139">
        <f aca="true" t="shared" si="10" ref="AO36:AU36">AO34</f>
        <v>138743207</v>
      </c>
      <c r="AP36" s="139">
        <f t="shared" si="10"/>
        <v>1660810</v>
      </c>
      <c r="AQ36" s="139">
        <f t="shared" si="10"/>
        <v>3467977</v>
      </c>
      <c r="AR36" s="140">
        <f t="shared" si="10"/>
        <v>2526814</v>
      </c>
      <c r="AS36" s="139">
        <f t="shared" si="10"/>
        <v>7682480</v>
      </c>
      <c r="AT36" s="140">
        <f t="shared" si="10"/>
        <v>7389697</v>
      </c>
      <c r="AU36" s="139">
        <f t="shared" si="10"/>
        <v>17780532</v>
      </c>
      <c r="AV36" s="141">
        <f>SUM(B36+D36+F36+H36+J36+L36+N36+P36+R36+T36+V36+X36+Z36+AB36+AD36+AF36+AH36+AJ36+AL36+AN36+AP36+AR36+AT36)</f>
        <v>285233036</v>
      </c>
      <c r="AW36" s="142">
        <f>SUM(C36+E36+G36+I36+K36+M36+O36+Q36+S36+U36+W36+Y36+AA36+AC36+AE36+AG36+AI36+AK36+AM36+AO36+AQ36+AS36+AU36)</f>
        <v>695277792</v>
      </c>
      <c r="AX36" s="430">
        <f>AX34</f>
        <v>686991948</v>
      </c>
      <c r="AY36" s="786">
        <f>AY34</f>
        <v>1825469717</v>
      </c>
      <c r="AZ36" s="141">
        <f>AV36+AX36</f>
        <v>972224984</v>
      </c>
      <c r="BA36" s="813">
        <f>AW36+AY36</f>
        <v>2520747509</v>
      </c>
    </row>
    <row r="37" spans="1:53" s="78" customFormat="1" ht="15" thickBot="1">
      <c r="A37" s="826" t="s">
        <v>57</v>
      </c>
      <c r="B37" s="437"/>
      <c r="C37" s="443"/>
      <c r="D37" s="440"/>
      <c r="E37" s="443"/>
      <c r="F37" s="434"/>
      <c r="G37" s="433"/>
      <c r="H37" s="96"/>
      <c r="I37" s="97"/>
      <c r="J37" s="434"/>
      <c r="K37" s="433"/>
      <c r="L37" s="96"/>
      <c r="M37" s="97"/>
      <c r="N37" s="96"/>
      <c r="O37" s="97"/>
      <c r="P37" s="119"/>
      <c r="Q37" s="143"/>
      <c r="R37" s="118"/>
      <c r="S37" s="143"/>
      <c r="T37" s="118"/>
      <c r="U37" s="143"/>
      <c r="V37" s="98"/>
      <c r="W37" s="97"/>
      <c r="X37" s="118"/>
      <c r="Y37" s="143"/>
      <c r="Z37" s="118"/>
      <c r="AA37" s="143"/>
      <c r="AB37" s="118"/>
      <c r="AC37" s="143"/>
      <c r="AD37" s="118"/>
      <c r="AE37" s="143"/>
      <c r="AF37" s="118"/>
      <c r="AG37" s="143"/>
      <c r="AH37" s="118"/>
      <c r="AI37" s="143"/>
      <c r="AJ37" s="118"/>
      <c r="AK37" s="216"/>
      <c r="AL37" s="270"/>
      <c r="AM37" s="271"/>
      <c r="AN37" s="96"/>
      <c r="AO37" s="96"/>
      <c r="AP37" s="96"/>
      <c r="AQ37" s="96"/>
      <c r="AR37" s="98"/>
      <c r="AS37" s="96"/>
      <c r="AT37" s="98"/>
      <c r="AU37" s="96"/>
      <c r="AV37" s="272"/>
      <c r="AW37" s="273"/>
      <c r="AX37" s="430"/>
      <c r="AY37" s="786"/>
      <c r="AZ37" s="272"/>
      <c r="BA37" s="814"/>
    </row>
    <row r="38" spans="1:58" s="412" customFormat="1" ht="15" thickBot="1">
      <c r="A38" s="411" t="s">
        <v>54</v>
      </c>
      <c r="B38" s="439">
        <f>B36</f>
        <v>13127181</v>
      </c>
      <c r="C38" s="445">
        <f aca="true" t="shared" si="11" ref="C38:AH38">C36</f>
        <v>30130450</v>
      </c>
      <c r="D38" s="442">
        <f t="shared" si="11"/>
        <v>858654</v>
      </c>
      <c r="E38" s="445">
        <f t="shared" si="11"/>
        <v>1764953</v>
      </c>
      <c r="F38" s="436">
        <f t="shared" si="11"/>
        <v>0</v>
      </c>
      <c r="G38" s="432">
        <f t="shared" si="11"/>
        <v>0</v>
      </c>
      <c r="H38" s="417">
        <f t="shared" si="11"/>
        <v>17859672</v>
      </c>
      <c r="I38" s="416">
        <f t="shared" si="11"/>
        <v>38148668</v>
      </c>
      <c r="J38" s="436">
        <f t="shared" si="11"/>
        <v>1680823</v>
      </c>
      <c r="K38" s="432">
        <f t="shared" si="11"/>
        <v>3643473</v>
      </c>
      <c r="L38" s="417">
        <f t="shared" si="11"/>
        <v>4487763</v>
      </c>
      <c r="M38" s="416">
        <f t="shared" si="11"/>
        <v>12003681</v>
      </c>
      <c r="N38" s="417">
        <f t="shared" si="11"/>
        <v>1236691</v>
      </c>
      <c r="O38" s="416">
        <f t="shared" si="11"/>
        <v>2439383</v>
      </c>
      <c r="P38" s="414">
        <f t="shared" si="11"/>
        <v>389068</v>
      </c>
      <c r="Q38" s="415">
        <f t="shared" si="11"/>
        <v>977455</v>
      </c>
      <c r="R38" s="413">
        <f t="shared" si="11"/>
        <v>4196594</v>
      </c>
      <c r="S38" s="415">
        <f t="shared" si="11"/>
        <v>10866850</v>
      </c>
      <c r="T38" s="413">
        <f t="shared" si="11"/>
        <v>1295355</v>
      </c>
      <c r="U38" s="415">
        <f t="shared" si="11"/>
        <v>3575735</v>
      </c>
      <c r="V38" s="418">
        <f t="shared" si="11"/>
        <v>60160410</v>
      </c>
      <c r="W38" s="416">
        <f t="shared" si="11"/>
        <v>132830567</v>
      </c>
      <c r="X38" s="413">
        <f t="shared" si="11"/>
        <v>70890881</v>
      </c>
      <c r="Y38" s="415">
        <f t="shared" si="11"/>
        <v>150023180</v>
      </c>
      <c r="Z38" s="413">
        <f t="shared" si="11"/>
        <v>2391283</v>
      </c>
      <c r="AA38" s="415">
        <f t="shared" si="11"/>
        <v>6067266</v>
      </c>
      <c r="AB38" s="413">
        <f t="shared" si="11"/>
        <v>3691952</v>
      </c>
      <c r="AC38" s="415">
        <f t="shared" si="11"/>
        <v>27308029</v>
      </c>
      <c r="AD38" s="413">
        <f t="shared" si="11"/>
        <v>10511368</v>
      </c>
      <c r="AE38" s="415">
        <f t="shared" si="11"/>
        <v>26167931</v>
      </c>
      <c r="AF38" s="413">
        <f t="shared" si="11"/>
        <v>20109946</v>
      </c>
      <c r="AG38" s="415">
        <f t="shared" si="11"/>
        <v>46503793</v>
      </c>
      <c r="AH38" s="413">
        <f t="shared" si="11"/>
        <v>7238311</v>
      </c>
      <c r="AI38" s="415">
        <f aca="true" t="shared" si="12" ref="AI38:AU38">AI36</f>
        <v>17753224</v>
      </c>
      <c r="AJ38" s="413">
        <f t="shared" si="12"/>
        <v>7310935</v>
      </c>
      <c r="AK38" s="727">
        <f t="shared" si="12"/>
        <v>17398958</v>
      </c>
      <c r="AL38" s="419">
        <f t="shared" si="12"/>
        <v>0</v>
      </c>
      <c r="AM38" s="420">
        <f t="shared" si="12"/>
        <v>0</v>
      </c>
      <c r="AN38" s="417">
        <f t="shared" si="12"/>
        <v>46218828</v>
      </c>
      <c r="AO38" s="417">
        <f t="shared" si="12"/>
        <v>138743207</v>
      </c>
      <c r="AP38" s="417">
        <f t="shared" si="12"/>
        <v>1660810</v>
      </c>
      <c r="AQ38" s="417">
        <f t="shared" si="12"/>
        <v>3467977</v>
      </c>
      <c r="AR38" s="418">
        <f t="shared" si="12"/>
        <v>2526814</v>
      </c>
      <c r="AS38" s="417">
        <f t="shared" si="12"/>
        <v>7682480</v>
      </c>
      <c r="AT38" s="418">
        <f t="shared" si="12"/>
        <v>7389697</v>
      </c>
      <c r="AU38" s="417">
        <f t="shared" si="12"/>
        <v>17780532</v>
      </c>
      <c r="AV38" s="404">
        <f>SUM(B38+D38+F38+H38+J38+L38+N38+P38+R38+T38+V38+X38+Z38+AB38+AD38+AF38+AH38+AJ38+AL38+AN38+AP38+AR38+AT38)</f>
        <v>285233036</v>
      </c>
      <c r="AW38" s="405">
        <f>SUM(C38+E38+G38+I38+K38+M38+O38+Q38+S38+U38+W38+Y38+AA38+AC38+AE38+AG38+AI38+AK38+AM38+AO38+AQ38+AS38+AU38)</f>
        <v>695277792</v>
      </c>
      <c r="AX38" s="431">
        <f>AX36</f>
        <v>686991948</v>
      </c>
      <c r="AY38" s="432">
        <f>AY36</f>
        <v>1825469717</v>
      </c>
      <c r="AZ38" s="404">
        <f>AV38+AX38</f>
        <v>972224984</v>
      </c>
      <c r="BA38" s="784">
        <f>AW38+AY38</f>
        <v>2520747509</v>
      </c>
      <c r="BE38" s="410"/>
      <c r="BF38" s="410"/>
    </row>
    <row r="39" spans="1:53" s="78" customFormat="1" ht="14.25">
      <c r="A39" s="62"/>
      <c r="V39" s="144"/>
      <c r="W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</row>
  </sheetData>
  <sheetProtection/>
  <mergeCells count="29">
    <mergeCell ref="J3:K3"/>
    <mergeCell ref="L3:M3"/>
    <mergeCell ref="N3:O3"/>
    <mergeCell ref="AB3:AC3"/>
    <mergeCell ref="AD3:AE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  <mergeCell ref="AL3:AM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" sqref="J2"/>
    </sheetView>
  </sheetViews>
  <sheetFormatPr defaultColWidth="9.140625" defaultRowHeight="15"/>
  <cols>
    <col min="1" max="1" width="45.421875" style="74" bestFit="1" customWidth="1"/>
    <col min="2" max="2" width="13.7109375" style="74" bestFit="1" customWidth="1"/>
    <col min="3" max="3" width="10.421875" style="74" bestFit="1" customWidth="1"/>
    <col min="4" max="4" width="12.28125" style="74" bestFit="1" customWidth="1"/>
    <col min="5" max="6" width="12.140625" style="74" bestFit="1" customWidth="1"/>
    <col min="7" max="7" width="18.28125" style="74" bestFit="1" customWidth="1"/>
    <col min="8" max="8" width="12.140625" style="74" bestFit="1" customWidth="1"/>
    <col min="9" max="9" width="12.8515625" style="74" bestFit="1" customWidth="1"/>
    <col min="10" max="10" width="10.421875" style="74" bestFit="1" customWidth="1"/>
    <col min="11" max="11" width="13.8515625" style="74" bestFit="1" customWidth="1"/>
    <col min="12" max="12" width="11.57421875" style="74" bestFit="1" customWidth="1"/>
    <col min="13" max="13" width="13.8515625" style="74" bestFit="1" customWidth="1"/>
    <col min="14" max="15" width="12.140625" style="74" bestFit="1" customWidth="1"/>
    <col min="16" max="16" width="13.140625" style="74" bestFit="1" customWidth="1"/>
    <col min="17" max="17" width="10.421875" style="74" bestFit="1" customWidth="1"/>
    <col min="18" max="19" width="13.140625" style="74" bestFit="1" customWidth="1"/>
    <col min="20" max="20" width="12.140625" style="74" bestFit="1" customWidth="1"/>
    <col min="21" max="21" width="11.57421875" style="74" bestFit="1" customWidth="1"/>
    <col min="22" max="22" width="10.7109375" style="74" bestFit="1" customWidth="1"/>
    <col min="23" max="23" width="13.8515625" style="74" bestFit="1" customWidth="1"/>
    <col min="24" max="24" width="12.140625" style="74" bestFit="1" customWidth="1"/>
    <col min="25" max="25" width="12.8515625" style="74" bestFit="1" customWidth="1"/>
    <col min="26" max="26" width="12.140625" style="74" bestFit="1" customWidth="1"/>
    <col min="27" max="27" width="12.8515625" style="43" bestFit="1" customWidth="1"/>
    <col min="28" max="16384" width="9.140625" style="74" customWidth="1"/>
  </cols>
  <sheetData>
    <row r="1" spans="1:27" s="329" customFormat="1" ht="17.25" thickBot="1">
      <c r="A1" s="1043" t="s">
        <v>200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1043"/>
      <c r="T1" s="1043"/>
      <c r="U1" s="1043"/>
      <c r="V1" s="1043"/>
      <c r="W1" s="1043"/>
      <c r="X1" s="1043"/>
      <c r="Y1" s="1043"/>
      <c r="Z1" s="1043"/>
      <c r="AA1" s="1043"/>
    </row>
    <row r="2" spans="1:27" ht="69" customHeight="1" thickBot="1">
      <c r="A2" s="1042" t="s">
        <v>0</v>
      </c>
      <c r="B2" s="778" t="s">
        <v>116</v>
      </c>
      <c r="C2" s="777" t="s">
        <v>117</v>
      </c>
      <c r="D2" s="777" t="s">
        <v>118</v>
      </c>
      <c r="E2" s="777" t="s">
        <v>119</v>
      </c>
      <c r="F2" s="779" t="s">
        <v>120</v>
      </c>
      <c r="G2" s="779" t="s">
        <v>121</v>
      </c>
      <c r="H2" s="777" t="s">
        <v>226</v>
      </c>
      <c r="I2" s="777" t="s">
        <v>122</v>
      </c>
      <c r="J2" s="777" t="s">
        <v>123</v>
      </c>
      <c r="K2" s="780" t="s">
        <v>124</v>
      </c>
      <c r="L2" s="777" t="s">
        <v>125</v>
      </c>
      <c r="M2" s="777" t="s">
        <v>126</v>
      </c>
      <c r="N2" s="777" t="s">
        <v>235</v>
      </c>
      <c r="O2" s="904" t="s">
        <v>127</v>
      </c>
      <c r="P2" s="777" t="s">
        <v>128</v>
      </c>
      <c r="Q2" s="777" t="s">
        <v>129</v>
      </c>
      <c r="R2" s="777" t="s">
        <v>130</v>
      </c>
      <c r="S2" s="777" t="s">
        <v>131</v>
      </c>
      <c r="T2" s="777" t="s">
        <v>132</v>
      </c>
      <c r="U2" s="777" t="s">
        <v>133</v>
      </c>
      <c r="V2" s="777" t="s">
        <v>134</v>
      </c>
      <c r="W2" s="777" t="s">
        <v>135</v>
      </c>
      <c r="X2" s="777" t="s">
        <v>136</v>
      </c>
      <c r="Y2" s="794" t="s">
        <v>1</v>
      </c>
      <c r="Z2" s="793" t="s">
        <v>137</v>
      </c>
      <c r="AA2" s="791" t="s">
        <v>2</v>
      </c>
    </row>
    <row r="3" spans="1:27" s="365" customFormat="1" ht="36.75" customHeight="1" thickBot="1">
      <c r="A3" s="1042"/>
      <c r="B3" s="447" t="s">
        <v>232</v>
      </c>
      <c r="C3" s="447" t="s">
        <v>232</v>
      </c>
      <c r="D3" s="447" t="s">
        <v>232</v>
      </c>
      <c r="E3" s="447" t="s">
        <v>232</v>
      </c>
      <c r="F3" s="447" t="s">
        <v>232</v>
      </c>
      <c r="G3" s="447" t="s">
        <v>232</v>
      </c>
      <c r="H3" s="447" t="s">
        <v>232</v>
      </c>
      <c r="I3" s="447" t="s">
        <v>232</v>
      </c>
      <c r="J3" s="447" t="s">
        <v>232</v>
      </c>
      <c r="K3" s="447" t="s">
        <v>232</v>
      </c>
      <c r="L3" s="447" t="s">
        <v>232</v>
      </c>
      <c r="M3" s="447" t="s">
        <v>232</v>
      </c>
      <c r="N3" s="447" t="s">
        <v>232</v>
      </c>
      <c r="O3" s="447" t="s">
        <v>232</v>
      </c>
      <c r="P3" s="447" t="s">
        <v>232</v>
      </c>
      <c r="Q3" s="447" t="s">
        <v>232</v>
      </c>
      <c r="R3" s="447" t="s">
        <v>232</v>
      </c>
      <c r="S3" s="447" t="s">
        <v>232</v>
      </c>
      <c r="T3" s="447" t="s">
        <v>232</v>
      </c>
      <c r="U3" s="447" t="s">
        <v>232</v>
      </c>
      <c r="V3" s="447" t="s">
        <v>232</v>
      </c>
      <c r="W3" s="447" t="s">
        <v>232</v>
      </c>
      <c r="X3" s="447" t="s">
        <v>232</v>
      </c>
      <c r="Y3" s="447" t="s">
        <v>232</v>
      </c>
      <c r="Z3" s="447" t="s">
        <v>232</v>
      </c>
      <c r="AA3" s="447" t="s">
        <v>232</v>
      </c>
    </row>
    <row r="4" spans="1:27" ht="17.25" thickBot="1">
      <c r="A4" s="558" t="s">
        <v>187</v>
      </c>
      <c r="B4" s="557"/>
      <c r="C4" s="554"/>
      <c r="D4" s="554"/>
      <c r="E4" s="554"/>
      <c r="F4" s="554"/>
      <c r="G4" s="554"/>
      <c r="H4" s="550"/>
      <c r="I4" s="550"/>
      <c r="J4" s="549"/>
      <c r="K4" s="557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49">
        <f aca="true" t="shared" si="0" ref="Y4:Y14">SUM(B4+C4+D4+E4+F4+G4+H4+I4+J4+K4+L4+M4+N4+O4+P4+Q4+R4+S4+T4+U4+V4+W4+X4)</f>
        <v>0</v>
      </c>
      <c r="Z4" s="550"/>
      <c r="AA4" s="549">
        <f aca="true" t="shared" si="1" ref="AA4:AA14">Y4+Z4</f>
        <v>0</v>
      </c>
    </row>
    <row r="5" spans="1:27" ht="17.25" thickBot="1">
      <c r="A5" s="426" t="s">
        <v>188</v>
      </c>
      <c r="B5" s="555">
        <v>682920</v>
      </c>
      <c r="C5" s="547"/>
      <c r="D5" s="547"/>
      <c r="E5" s="547"/>
      <c r="F5" s="547"/>
      <c r="G5" s="547"/>
      <c r="H5" s="547"/>
      <c r="I5" s="547"/>
      <c r="J5" s="548"/>
      <c r="K5" s="555"/>
      <c r="L5" s="547"/>
      <c r="M5" s="547"/>
      <c r="N5" s="547"/>
      <c r="O5" s="547"/>
      <c r="P5" s="547"/>
      <c r="Q5" s="547">
        <v>258784</v>
      </c>
      <c r="R5" s="547"/>
      <c r="S5" s="547"/>
      <c r="T5" s="547"/>
      <c r="U5" s="547"/>
      <c r="V5" s="547"/>
      <c r="W5" s="547"/>
      <c r="X5" s="547"/>
      <c r="Y5" s="549">
        <f t="shared" si="0"/>
        <v>941704</v>
      </c>
      <c r="Z5" s="547"/>
      <c r="AA5" s="548">
        <f t="shared" si="1"/>
        <v>941704</v>
      </c>
    </row>
    <row r="6" spans="1:27" ht="16.5">
      <c r="A6" s="426" t="s">
        <v>189</v>
      </c>
      <c r="B6" s="555">
        <v>2000028</v>
      </c>
      <c r="C6" s="551">
        <v>8763705</v>
      </c>
      <c r="D6" s="547"/>
      <c r="E6" s="547">
        <v>10599550</v>
      </c>
      <c r="F6" s="547">
        <v>2072442</v>
      </c>
      <c r="G6" s="547">
        <v>1250000</v>
      </c>
      <c r="H6" s="547">
        <v>8329217</v>
      </c>
      <c r="I6" s="547">
        <v>16848478</v>
      </c>
      <c r="J6" s="548"/>
      <c r="K6" s="555"/>
      <c r="L6" s="547">
        <v>4557769</v>
      </c>
      <c r="M6" s="547">
        <v>34303571</v>
      </c>
      <c r="N6" s="547"/>
      <c r="O6" s="547">
        <v>2700000</v>
      </c>
      <c r="P6" s="547">
        <v>520363</v>
      </c>
      <c r="Q6" s="547">
        <v>680913</v>
      </c>
      <c r="R6" s="547"/>
      <c r="S6" s="547">
        <v>3031592</v>
      </c>
      <c r="T6" s="547"/>
      <c r="U6" s="547">
        <v>32646</v>
      </c>
      <c r="V6" s="547">
        <v>15934</v>
      </c>
      <c r="W6" s="547">
        <v>2686056</v>
      </c>
      <c r="X6" s="547"/>
      <c r="Y6" s="549">
        <f t="shared" si="0"/>
        <v>98392264</v>
      </c>
      <c r="Z6" s="547"/>
      <c r="AA6" s="548">
        <f t="shared" si="1"/>
        <v>98392264</v>
      </c>
    </row>
    <row r="7" spans="1:27" ht="16.5">
      <c r="A7" s="426" t="s">
        <v>190</v>
      </c>
      <c r="B7" s="555"/>
      <c r="C7" s="551"/>
      <c r="D7" s="547"/>
      <c r="E7" s="547">
        <v>476529</v>
      </c>
      <c r="F7" s="547">
        <v>46441</v>
      </c>
      <c r="G7" s="547"/>
      <c r="H7" s="547"/>
      <c r="I7" s="547"/>
      <c r="J7" s="548"/>
      <c r="K7" s="555"/>
      <c r="L7" s="547"/>
      <c r="M7" s="547">
        <v>258513</v>
      </c>
      <c r="N7" s="547"/>
      <c r="O7" s="547"/>
      <c r="P7" s="547"/>
      <c r="Q7" s="547"/>
      <c r="R7" s="547">
        <v>44182</v>
      </c>
      <c r="S7" s="547"/>
      <c r="T7" s="547"/>
      <c r="U7" s="547"/>
      <c r="V7" s="547"/>
      <c r="W7" s="547"/>
      <c r="X7" s="547">
        <v>259637</v>
      </c>
      <c r="Y7" s="548">
        <f t="shared" si="0"/>
        <v>1085302</v>
      </c>
      <c r="Z7" s="547"/>
      <c r="AA7" s="548">
        <f t="shared" si="1"/>
        <v>1085302</v>
      </c>
    </row>
    <row r="8" spans="1:27" ht="16.5">
      <c r="A8" s="426" t="s">
        <v>191</v>
      </c>
      <c r="B8" s="555">
        <v>406127</v>
      </c>
      <c r="C8" s="551"/>
      <c r="D8" s="547"/>
      <c r="E8" s="547"/>
      <c r="F8" s="547"/>
      <c r="G8" s="547"/>
      <c r="H8" s="547"/>
      <c r="I8" s="547"/>
      <c r="J8" s="548"/>
      <c r="K8" s="555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8">
        <f t="shared" si="0"/>
        <v>406127</v>
      </c>
      <c r="Z8" s="547">
        <v>6298288</v>
      </c>
      <c r="AA8" s="548">
        <f t="shared" si="1"/>
        <v>6704415</v>
      </c>
    </row>
    <row r="9" spans="1:27" ht="16.5">
      <c r="A9" s="426" t="s">
        <v>192</v>
      </c>
      <c r="B9" s="555"/>
      <c r="C9" s="551"/>
      <c r="D9" s="547"/>
      <c r="E9" s="547"/>
      <c r="F9" s="547"/>
      <c r="G9" s="547"/>
      <c r="H9" s="547"/>
      <c r="I9" s="547"/>
      <c r="J9" s="548"/>
      <c r="K9" s="555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8">
        <f t="shared" si="0"/>
        <v>0</v>
      </c>
      <c r="Z9" s="547"/>
      <c r="AA9" s="548">
        <f t="shared" si="1"/>
        <v>0</v>
      </c>
    </row>
    <row r="10" spans="1:27" ht="16.5">
      <c r="A10" s="426" t="s">
        <v>193</v>
      </c>
      <c r="B10" s="555"/>
      <c r="C10" s="551"/>
      <c r="D10" s="547"/>
      <c r="E10" s="547"/>
      <c r="F10" s="547"/>
      <c r="G10" s="547"/>
      <c r="H10" s="547"/>
      <c r="I10" s="547"/>
      <c r="J10" s="548"/>
      <c r="K10" s="555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8">
        <f t="shared" si="0"/>
        <v>0</v>
      </c>
      <c r="Z10" s="547"/>
      <c r="AA10" s="548">
        <f t="shared" si="1"/>
        <v>0</v>
      </c>
    </row>
    <row r="11" spans="1:27" ht="16.5">
      <c r="A11" s="426" t="s">
        <v>194</v>
      </c>
      <c r="B11" s="555"/>
      <c r="C11" s="551"/>
      <c r="D11" s="547"/>
      <c r="E11" s="547"/>
      <c r="F11" s="547"/>
      <c r="G11" s="547"/>
      <c r="H11" s="547"/>
      <c r="I11" s="547"/>
      <c r="J11" s="548"/>
      <c r="K11" s="555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8">
        <f t="shared" si="0"/>
        <v>0</v>
      </c>
      <c r="Z11" s="547"/>
      <c r="AA11" s="548">
        <f t="shared" si="1"/>
        <v>0</v>
      </c>
    </row>
    <row r="12" spans="1:27" ht="16.5">
      <c r="A12" s="426" t="s">
        <v>195</v>
      </c>
      <c r="B12" s="555"/>
      <c r="C12" s="551"/>
      <c r="D12" s="547"/>
      <c r="E12" s="547"/>
      <c r="F12" s="547"/>
      <c r="G12" s="547"/>
      <c r="H12" s="547"/>
      <c r="I12" s="547"/>
      <c r="J12" s="548"/>
      <c r="K12" s="555"/>
      <c r="L12" s="547"/>
      <c r="M12" s="547"/>
      <c r="N12" s="547"/>
      <c r="O12" s="547">
        <v>100000</v>
      </c>
      <c r="P12" s="547"/>
      <c r="Q12" s="547">
        <v>1154575</v>
      </c>
      <c r="R12" s="547"/>
      <c r="S12" s="547"/>
      <c r="T12" s="547"/>
      <c r="U12" s="547">
        <v>3324</v>
      </c>
      <c r="V12" s="547"/>
      <c r="W12" s="547"/>
      <c r="X12" s="547"/>
      <c r="Y12" s="548">
        <f t="shared" si="0"/>
        <v>1257899</v>
      </c>
      <c r="Z12" s="547">
        <v>-7703</v>
      </c>
      <c r="AA12" s="548">
        <f t="shared" si="1"/>
        <v>1250196</v>
      </c>
    </row>
    <row r="13" spans="1:27" ht="16.5">
      <c r="A13" s="426" t="s">
        <v>196</v>
      </c>
      <c r="B13" s="555">
        <v>613811</v>
      </c>
      <c r="C13" s="551"/>
      <c r="D13" s="547"/>
      <c r="E13" s="547">
        <v>90080922</v>
      </c>
      <c r="F13" s="547"/>
      <c r="G13" s="547"/>
      <c r="H13" s="547"/>
      <c r="I13" s="547"/>
      <c r="J13" s="548"/>
      <c r="K13" s="555"/>
      <c r="L13" s="547">
        <v>56114722</v>
      </c>
      <c r="M13" s="547">
        <v>35381090</v>
      </c>
      <c r="N13" s="547">
        <v>1436336</v>
      </c>
      <c r="O13" s="547"/>
      <c r="P13" s="547">
        <v>29349740</v>
      </c>
      <c r="Q13" s="547">
        <v>9356355</v>
      </c>
      <c r="R13" s="547"/>
      <c r="S13" s="547"/>
      <c r="T13" s="547"/>
      <c r="U13" s="547">
        <v>88057997</v>
      </c>
      <c r="V13" s="547">
        <v>4889511</v>
      </c>
      <c r="W13" s="547"/>
      <c r="X13" s="547">
        <v>489074</v>
      </c>
      <c r="Y13" s="548">
        <f t="shared" si="0"/>
        <v>315769558</v>
      </c>
      <c r="Z13" s="547"/>
      <c r="AA13" s="548">
        <f t="shared" si="1"/>
        <v>315769558</v>
      </c>
    </row>
    <row r="14" spans="1:27" s="425" customFormat="1" ht="17.25" thickBot="1">
      <c r="A14" s="559" t="s">
        <v>54</v>
      </c>
      <c r="B14" s="556">
        <f aca="true" t="shared" si="2" ref="B14:X14">SUM(B4:B13)</f>
        <v>3702886</v>
      </c>
      <c r="C14" s="423">
        <f t="shared" si="2"/>
        <v>8763705</v>
      </c>
      <c r="D14" s="424">
        <f t="shared" si="2"/>
        <v>0</v>
      </c>
      <c r="E14" s="424">
        <f t="shared" si="2"/>
        <v>101157001</v>
      </c>
      <c r="F14" s="424">
        <f t="shared" si="2"/>
        <v>2118883</v>
      </c>
      <c r="G14" s="424">
        <f t="shared" si="2"/>
        <v>1250000</v>
      </c>
      <c r="H14" s="424">
        <f t="shared" si="2"/>
        <v>8329217</v>
      </c>
      <c r="I14" s="424">
        <f t="shared" si="2"/>
        <v>16848478</v>
      </c>
      <c r="J14" s="424">
        <f t="shared" si="2"/>
        <v>0</v>
      </c>
      <c r="K14" s="556">
        <f t="shared" si="2"/>
        <v>0</v>
      </c>
      <c r="L14" s="423">
        <f t="shared" si="2"/>
        <v>60672491</v>
      </c>
      <c r="M14" s="423">
        <f t="shared" si="2"/>
        <v>69943174</v>
      </c>
      <c r="N14" s="423">
        <f t="shared" si="2"/>
        <v>1436336</v>
      </c>
      <c r="O14" s="423">
        <f t="shared" si="2"/>
        <v>2800000</v>
      </c>
      <c r="P14" s="423">
        <f t="shared" si="2"/>
        <v>29870103</v>
      </c>
      <c r="Q14" s="423">
        <f t="shared" si="2"/>
        <v>11450627</v>
      </c>
      <c r="R14" s="423">
        <f t="shared" si="2"/>
        <v>44182</v>
      </c>
      <c r="S14" s="423">
        <f t="shared" si="2"/>
        <v>3031592</v>
      </c>
      <c r="T14" s="423">
        <f t="shared" si="2"/>
        <v>0</v>
      </c>
      <c r="U14" s="423">
        <f>SUM(U4:U13)</f>
        <v>88093967</v>
      </c>
      <c r="V14" s="423">
        <f t="shared" si="2"/>
        <v>4905445</v>
      </c>
      <c r="W14" s="423">
        <f t="shared" si="2"/>
        <v>2686056</v>
      </c>
      <c r="X14" s="424">
        <f t="shared" si="2"/>
        <v>748711</v>
      </c>
      <c r="Y14" s="792">
        <f t="shared" si="0"/>
        <v>417852854</v>
      </c>
      <c r="Z14" s="423">
        <v>6290585</v>
      </c>
      <c r="AA14" s="792">
        <f t="shared" si="1"/>
        <v>424143439</v>
      </c>
    </row>
  </sheetData>
  <sheetProtection/>
  <mergeCells count="2">
    <mergeCell ref="A2:A3"/>
    <mergeCell ref="A1:AA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X8" sqref="X8"/>
    </sheetView>
  </sheetViews>
  <sheetFormatPr defaultColWidth="9.140625" defaultRowHeight="15"/>
  <cols>
    <col min="1" max="1" width="19.57421875" style="74" customWidth="1"/>
    <col min="2" max="3" width="10.8515625" style="74" customWidth="1"/>
    <col min="4" max="4" width="10.57421875" style="74" customWidth="1"/>
    <col min="5" max="5" width="10.421875" style="74" customWidth="1"/>
    <col min="6" max="6" width="11.28125" style="74" customWidth="1"/>
    <col min="7" max="7" width="10.8515625" style="74" customWidth="1"/>
    <col min="8" max="9" width="10.57421875" style="74" customWidth="1"/>
    <col min="10" max="11" width="10.28125" style="74" customWidth="1"/>
    <col min="12" max="12" width="10.57421875" style="74" customWidth="1"/>
    <col min="13" max="13" width="11.57421875" style="74" bestFit="1" customWidth="1"/>
    <col min="14" max="14" width="10.421875" style="74" customWidth="1"/>
    <col min="15" max="15" width="11.421875" style="74" customWidth="1"/>
    <col min="16" max="17" width="10.421875" style="74" customWidth="1"/>
    <col min="18" max="18" width="11.28125" style="74" customWidth="1"/>
    <col min="19" max="20" width="10.28125" style="74" customWidth="1"/>
    <col min="21" max="23" width="10.57421875" style="74" customWidth="1"/>
    <col min="24" max="24" width="10.7109375" style="74" customWidth="1"/>
    <col min="25" max="25" width="11.57421875" style="74" bestFit="1" customWidth="1"/>
    <col min="26" max="26" width="10.421875" style="74" customWidth="1"/>
    <col min="27" max="27" width="11.57421875" style="74" bestFit="1" customWidth="1"/>
    <col min="28" max="16384" width="9.140625" style="74" customWidth="1"/>
  </cols>
  <sheetData>
    <row r="1" s="329" customFormat="1" ht="17.25" thickBot="1">
      <c r="A1" s="330" t="s">
        <v>201</v>
      </c>
    </row>
    <row r="2" spans="1:27" ht="129" thickBot="1">
      <c r="A2" s="1044" t="s">
        <v>0</v>
      </c>
      <c r="B2" s="446" t="s">
        <v>116</v>
      </c>
      <c r="C2" s="483" t="s">
        <v>117</v>
      </c>
      <c r="D2" s="483" t="s">
        <v>118</v>
      </c>
      <c r="E2" s="483" t="s">
        <v>119</v>
      </c>
      <c r="F2" s="483" t="s">
        <v>120</v>
      </c>
      <c r="G2" s="483" t="s">
        <v>121</v>
      </c>
      <c r="H2" s="483" t="s">
        <v>226</v>
      </c>
      <c r="I2" s="483" t="s">
        <v>122</v>
      </c>
      <c r="J2" s="483" t="s">
        <v>123</v>
      </c>
      <c r="K2" s="483" t="s">
        <v>124</v>
      </c>
      <c r="L2" s="483" t="s">
        <v>125</v>
      </c>
      <c r="M2" s="483" t="s">
        <v>126</v>
      </c>
      <c r="N2" s="830" t="s">
        <v>234</v>
      </c>
      <c r="O2" s="483" t="s">
        <v>127</v>
      </c>
      <c r="P2" s="483" t="s">
        <v>128</v>
      </c>
      <c r="Q2" s="483" t="s">
        <v>129</v>
      </c>
      <c r="R2" s="483" t="s">
        <v>130</v>
      </c>
      <c r="S2" s="483" t="s">
        <v>131</v>
      </c>
      <c r="T2" s="483" t="s">
        <v>132</v>
      </c>
      <c r="U2" s="483" t="s">
        <v>133</v>
      </c>
      <c r="V2" s="483" t="s">
        <v>134</v>
      </c>
      <c r="W2" s="483" t="s">
        <v>135</v>
      </c>
      <c r="X2" s="483" t="s">
        <v>136</v>
      </c>
      <c r="Y2" s="483" t="s">
        <v>1</v>
      </c>
      <c r="Z2" s="483" t="s">
        <v>137</v>
      </c>
      <c r="AA2" s="483" t="s">
        <v>2</v>
      </c>
    </row>
    <row r="3" spans="1:27" s="365" customFormat="1" ht="31.5" customHeight="1" thickBot="1">
      <c r="A3" s="1045"/>
      <c r="B3" s="447" t="s">
        <v>232</v>
      </c>
      <c r="C3" s="447" t="s">
        <v>232</v>
      </c>
      <c r="D3" s="447" t="s">
        <v>232</v>
      </c>
      <c r="E3" s="447" t="s">
        <v>232</v>
      </c>
      <c r="F3" s="447" t="s">
        <v>232</v>
      </c>
      <c r="G3" s="447" t="s">
        <v>232</v>
      </c>
      <c r="H3" s="447" t="s">
        <v>232</v>
      </c>
      <c r="I3" s="447" t="s">
        <v>232</v>
      </c>
      <c r="J3" s="447" t="s">
        <v>232</v>
      </c>
      <c r="K3" s="447" t="s">
        <v>232</v>
      </c>
      <c r="L3" s="447" t="s">
        <v>232</v>
      </c>
      <c r="M3" s="447" t="s">
        <v>232</v>
      </c>
      <c r="N3" s="447" t="s">
        <v>232</v>
      </c>
      <c r="O3" s="447" t="s">
        <v>232</v>
      </c>
      <c r="P3" s="447" t="s">
        <v>232</v>
      </c>
      <c r="Q3" s="447" t="s">
        <v>232</v>
      </c>
      <c r="R3" s="447" t="s">
        <v>232</v>
      </c>
      <c r="S3" s="447" t="s">
        <v>232</v>
      </c>
      <c r="T3" s="447" t="s">
        <v>232</v>
      </c>
      <c r="U3" s="447" t="s">
        <v>232</v>
      </c>
      <c r="V3" s="447" t="s">
        <v>232</v>
      </c>
      <c r="W3" s="447" t="s">
        <v>232</v>
      </c>
      <c r="X3" s="447" t="s">
        <v>232</v>
      </c>
      <c r="Y3" s="447" t="s">
        <v>232</v>
      </c>
      <c r="Z3" s="447" t="s">
        <v>232</v>
      </c>
      <c r="AA3" s="447" t="s">
        <v>232</v>
      </c>
    </row>
    <row r="4" spans="1:27" ht="17.25" thickBot="1">
      <c r="A4" s="322" t="s">
        <v>197</v>
      </c>
      <c r="B4" s="318"/>
      <c r="C4" s="318">
        <v>700000</v>
      </c>
      <c r="D4" s="318"/>
      <c r="E4" s="318"/>
      <c r="F4" s="318">
        <v>600000</v>
      </c>
      <c r="G4" s="318"/>
      <c r="H4" s="318"/>
      <c r="I4" s="318"/>
      <c r="J4" s="318"/>
      <c r="K4" s="318">
        <v>300000</v>
      </c>
      <c r="L4" s="318">
        <v>6000000</v>
      </c>
      <c r="M4" s="318">
        <v>12000000</v>
      </c>
      <c r="N4" s="318"/>
      <c r="O4" s="318">
        <v>1000000</v>
      </c>
      <c r="P4" s="318"/>
      <c r="Q4" s="318"/>
      <c r="R4" s="318"/>
      <c r="S4" s="318"/>
      <c r="T4" s="318"/>
      <c r="U4" s="318"/>
      <c r="V4" s="318"/>
      <c r="W4" s="327"/>
      <c r="X4" s="320"/>
      <c r="Y4" s="318">
        <f>SUM(B4:X4)</f>
        <v>20600000</v>
      </c>
      <c r="Z4" s="323">
        <v>0</v>
      </c>
      <c r="AA4" s="325">
        <f>SUM(Y4+Z4)</f>
        <v>20600000</v>
      </c>
    </row>
    <row r="5" spans="1:27" ht="17.25" thickBot="1">
      <c r="A5" s="317" t="s">
        <v>198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28"/>
      <c r="X5" s="321"/>
      <c r="Y5" s="318">
        <f>SUM(B5:X5)</f>
        <v>0</v>
      </c>
      <c r="Z5" s="324"/>
      <c r="AA5" s="326"/>
    </row>
    <row r="6" spans="1:27" ht="17.25" thickBot="1">
      <c r="A6" s="317" t="s">
        <v>199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28"/>
      <c r="X6" s="321"/>
      <c r="Y6" s="318">
        <f>SUM(B6:X6)</f>
        <v>0</v>
      </c>
      <c r="Z6" s="324"/>
      <c r="AA6" s="326"/>
    </row>
    <row r="7" spans="1:27" ht="16.5">
      <c r="A7" s="317" t="s">
        <v>75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28"/>
      <c r="X7" s="321"/>
      <c r="Y7" s="318">
        <f>SUM(B7:X7)</f>
        <v>0</v>
      </c>
      <c r="Z7" s="324"/>
      <c r="AA7" s="326"/>
    </row>
    <row r="8" spans="1:27" s="365" customFormat="1" ht="17.25" thickBot="1">
      <c r="A8" s="421" t="s">
        <v>54</v>
      </c>
      <c r="B8" s="944">
        <f>SUM(B4:B7)</f>
        <v>0</v>
      </c>
      <c r="C8" s="422">
        <f aca="true" t="shared" si="0" ref="C8:AA8">SUM(C4:C7)</f>
        <v>700000</v>
      </c>
      <c r="D8" s="422">
        <f t="shared" si="0"/>
        <v>0</v>
      </c>
      <c r="E8" s="944">
        <f t="shared" si="0"/>
        <v>0</v>
      </c>
      <c r="F8" s="422">
        <f t="shared" si="0"/>
        <v>600000</v>
      </c>
      <c r="G8" s="944">
        <f t="shared" si="0"/>
        <v>0</v>
      </c>
      <c r="H8" s="944">
        <f t="shared" si="0"/>
        <v>0</v>
      </c>
      <c r="I8" s="944">
        <f t="shared" si="0"/>
        <v>0</v>
      </c>
      <c r="J8" s="944">
        <f t="shared" si="0"/>
        <v>0</v>
      </c>
      <c r="K8" s="422">
        <f t="shared" si="0"/>
        <v>300000</v>
      </c>
      <c r="L8" s="422">
        <f t="shared" si="0"/>
        <v>6000000</v>
      </c>
      <c r="M8" s="422">
        <f t="shared" si="0"/>
        <v>12000000</v>
      </c>
      <c r="N8" s="944">
        <f t="shared" si="0"/>
        <v>0</v>
      </c>
      <c r="O8" s="422">
        <f t="shared" si="0"/>
        <v>1000000</v>
      </c>
      <c r="P8" s="944">
        <f t="shared" si="0"/>
        <v>0</v>
      </c>
      <c r="Q8" s="944">
        <f t="shared" si="0"/>
        <v>0</v>
      </c>
      <c r="R8" s="944">
        <f t="shared" si="0"/>
        <v>0</v>
      </c>
      <c r="S8" s="944">
        <f t="shared" si="0"/>
        <v>0</v>
      </c>
      <c r="T8" s="944">
        <f t="shared" si="0"/>
        <v>0</v>
      </c>
      <c r="U8" s="944">
        <f t="shared" si="0"/>
        <v>0</v>
      </c>
      <c r="V8" s="944">
        <f t="shared" si="0"/>
        <v>0</v>
      </c>
      <c r="W8" s="944">
        <f t="shared" si="0"/>
        <v>0</v>
      </c>
      <c r="X8" s="944">
        <f t="shared" si="0"/>
        <v>0</v>
      </c>
      <c r="Y8" s="422">
        <f t="shared" si="0"/>
        <v>20600000</v>
      </c>
      <c r="Z8" s="944">
        <f t="shared" si="0"/>
        <v>0</v>
      </c>
      <c r="AA8" s="422">
        <f t="shared" si="0"/>
        <v>20600000</v>
      </c>
    </row>
  </sheetData>
  <sheetProtection/>
  <mergeCells count="1">
    <mergeCell ref="A2:A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Pande Sandeep</dc:creator>
  <cp:keywords/>
  <dc:description/>
  <cp:lastModifiedBy>Pande Sandeep</cp:lastModifiedBy>
  <dcterms:created xsi:type="dcterms:W3CDTF">2019-02-21T06:27:16Z</dcterms:created>
  <dcterms:modified xsi:type="dcterms:W3CDTF">2021-03-26T06:36:20Z</dcterms:modified>
  <cp:category/>
  <cp:version/>
  <cp:contentType/>
  <cp:contentStatus/>
</cp:coreProperties>
</file>