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C:\Users\sandeeppande\Desktop\"/>
    </mc:Choice>
  </mc:AlternateContent>
  <xr:revisionPtr revIDLastSave="0" documentId="8_{7B1E6CF4-AFC5-4152-BD87-0F4FBEB56AE3}" xr6:coauthVersionLast="45" xr6:coauthVersionMax="45" xr10:uidLastSave="{00000000-0000-0000-0000-000000000000}"/>
  <bookViews>
    <workbookView xWindow="585" yWindow="165" windowWidth="18045" windowHeight="10155" tabRatio="599"/>
  </bookViews>
  <sheets>
    <sheet name="L1" sheetId="19" r:id="rId1"/>
    <sheet name="L2" sheetId="11" r:id="rId2"/>
    <sheet name="L3" sheetId="27" r:id="rId3"/>
    <sheet name="L4" sheetId="5" r:id="rId4"/>
    <sheet name="L5" sheetId="7" r:id="rId5"/>
    <sheet name="L6" sheetId="8" r:id="rId6"/>
    <sheet name="L7" sheetId="6" r:id="rId7"/>
    <sheet name="L10" sheetId="22" r:id="rId8"/>
    <sheet name="L11" sheetId="23" r:id="rId9"/>
    <sheet name="L15" sheetId="29" r:id="rId10"/>
    <sheet name="L24" sheetId="28" r:id="rId11"/>
    <sheet name="L25" sheetId="24" r:id="rId12"/>
    <sheet name="L37FPI" sheetId="1" r:id="rId13"/>
    <sheet name="L37Lives" sheetId="2" r:id="rId14"/>
    <sheet name="L38 FPI" sheetId="4" r:id="rId15"/>
    <sheet name="L38 NOP" sheetId="3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7" l="1"/>
  <c r="AV23" i="27" s="1"/>
  <c r="AZ23" i="27" s="1"/>
  <c r="F19" i="27"/>
  <c r="F18" i="27"/>
  <c r="AW34" i="6"/>
  <c r="AW35" i="6"/>
  <c r="AW36" i="6"/>
  <c r="AW37" i="6"/>
  <c r="AW38" i="6"/>
  <c r="AV35" i="6"/>
  <c r="AV36" i="6"/>
  <c r="AV37" i="6"/>
  <c r="AW32" i="6"/>
  <c r="AW33" i="6"/>
  <c r="AW7" i="6"/>
  <c r="AW8" i="6"/>
  <c r="AW9" i="6"/>
  <c r="AW10" i="6"/>
  <c r="AW11" i="6"/>
  <c r="AW12" i="6"/>
  <c r="AW13" i="6"/>
  <c r="AW14" i="6"/>
  <c r="BA14" i="6"/>
  <c r="AW15" i="6"/>
  <c r="AW16" i="6"/>
  <c r="AW17" i="6"/>
  <c r="AW18" i="6"/>
  <c r="AW19" i="6"/>
  <c r="AW20" i="6"/>
  <c r="AW21" i="6"/>
  <c r="AW22" i="6"/>
  <c r="BA22" i="6"/>
  <c r="AW23" i="6"/>
  <c r="AW24" i="6"/>
  <c r="AW25" i="6"/>
  <c r="AW26" i="6"/>
  <c r="AW27" i="6"/>
  <c r="AW28" i="6"/>
  <c r="AW29" i="6"/>
  <c r="AW30" i="6"/>
  <c r="BA30" i="6"/>
  <c r="AW31" i="6"/>
  <c r="AV7" i="6"/>
  <c r="AV8" i="6"/>
  <c r="AV9" i="6"/>
  <c r="AV10" i="6"/>
  <c r="AV11" i="6"/>
  <c r="AV12" i="6"/>
  <c r="AV13" i="6"/>
  <c r="AV14" i="6"/>
  <c r="AV15" i="6"/>
  <c r="AV16" i="6"/>
  <c r="AV17" i="6"/>
  <c r="AV18" i="6"/>
  <c r="AV19" i="6"/>
  <c r="AV20" i="6"/>
  <c r="AV21" i="6"/>
  <c r="AV22" i="6"/>
  <c r="AV23" i="6"/>
  <c r="AV24" i="6"/>
  <c r="AV25" i="6"/>
  <c r="AV26" i="6"/>
  <c r="AV27" i="6"/>
  <c r="AV28" i="6"/>
  <c r="AV29" i="6"/>
  <c r="AV30" i="6"/>
  <c r="AV31" i="6"/>
  <c r="AV32" i="6"/>
  <c r="AV33" i="6"/>
  <c r="AW6" i="6"/>
  <c r="AV6" i="6"/>
  <c r="AZ6" i="8"/>
  <c r="BA6" i="8"/>
  <c r="AZ7" i="8"/>
  <c r="BA7" i="8"/>
  <c r="AZ8" i="8"/>
  <c r="BA8" i="8"/>
  <c r="AZ9" i="8"/>
  <c r="BA9" i="8"/>
  <c r="AZ10" i="8"/>
  <c r="BA10" i="8"/>
  <c r="AZ11" i="8"/>
  <c r="BA11" i="8"/>
  <c r="AZ12" i="8"/>
  <c r="BA12" i="8"/>
  <c r="AZ13" i="8"/>
  <c r="BA13" i="8"/>
  <c r="AZ14" i="8"/>
  <c r="BA14" i="8"/>
  <c r="AZ15" i="8"/>
  <c r="BA15" i="8"/>
  <c r="AZ16" i="8"/>
  <c r="BA16" i="8"/>
  <c r="AZ17" i="8"/>
  <c r="BA17" i="8"/>
  <c r="AZ18" i="8"/>
  <c r="BA18" i="8"/>
  <c r="AZ19" i="8"/>
  <c r="BA19" i="8"/>
  <c r="AZ20" i="8"/>
  <c r="BA20" i="8"/>
  <c r="AZ21" i="8"/>
  <c r="BA21" i="8"/>
  <c r="AZ22" i="8"/>
  <c r="BA22" i="8"/>
  <c r="AZ23" i="8"/>
  <c r="BA23" i="8"/>
  <c r="AZ24" i="8"/>
  <c r="BA24" i="8"/>
  <c r="AZ25" i="8"/>
  <c r="BA25" i="8"/>
  <c r="AZ26" i="8"/>
  <c r="BA26" i="8"/>
  <c r="AZ27" i="8"/>
  <c r="BA27" i="8"/>
  <c r="AZ28" i="8"/>
  <c r="BA28" i="8"/>
  <c r="AZ29" i="8"/>
  <c r="BA29" i="8"/>
  <c r="AZ30" i="8"/>
  <c r="BA30" i="8"/>
  <c r="AZ31" i="8"/>
  <c r="BA31" i="8"/>
  <c r="AZ32" i="8"/>
  <c r="BA32" i="8"/>
  <c r="AZ33" i="8"/>
  <c r="BA33" i="8"/>
  <c r="AZ34" i="8"/>
  <c r="BA34" i="8"/>
  <c r="AZ35" i="8"/>
  <c r="BA35" i="8"/>
  <c r="AZ36" i="8"/>
  <c r="BA36" i="8"/>
  <c r="AZ37" i="8"/>
  <c r="BA37" i="8"/>
  <c r="BA5" i="8"/>
  <c r="AZ5" i="8"/>
  <c r="AV6" i="8"/>
  <c r="AW6" i="8"/>
  <c r="AV7" i="8"/>
  <c r="AW7" i="8"/>
  <c r="AV8" i="8"/>
  <c r="AW8" i="8"/>
  <c r="AV9" i="8"/>
  <c r="AW9" i="8"/>
  <c r="AV10" i="8"/>
  <c r="AW10" i="8"/>
  <c r="AV11" i="8"/>
  <c r="AW11" i="8"/>
  <c r="AV12" i="8"/>
  <c r="AW12" i="8"/>
  <c r="AV13" i="8"/>
  <c r="AW13" i="8"/>
  <c r="AV14" i="8"/>
  <c r="AW14" i="8"/>
  <c r="AV15" i="8"/>
  <c r="AW15" i="8"/>
  <c r="AV16" i="8"/>
  <c r="AW16" i="8"/>
  <c r="AV17" i="8"/>
  <c r="AW17" i="8"/>
  <c r="AV18" i="8"/>
  <c r="AW18" i="8"/>
  <c r="AV19" i="8"/>
  <c r="AW19" i="8"/>
  <c r="AV20" i="8"/>
  <c r="AW20" i="8"/>
  <c r="AV21" i="8"/>
  <c r="AW21" i="8"/>
  <c r="AV22" i="8"/>
  <c r="AW22" i="8"/>
  <c r="AV23" i="8"/>
  <c r="AW23" i="8"/>
  <c r="AV24" i="8"/>
  <c r="AW24" i="8"/>
  <c r="AV25" i="8"/>
  <c r="AW25" i="8"/>
  <c r="AV26" i="8"/>
  <c r="AW26" i="8"/>
  <c r="AV27" i="8"/>
  <c r="AW27" i="8"/>
  <c r="AV28" i="8"/>
  <c r="AW28" i="8"/>
  <c r="AV29" i="8"/>
  <c r="AW29" i="8"/>
  <c r="AV30" i="8"/>
  <c r="AW30" i="8"/>
  <c r="AV31" i="8"/>
  <c r="AW31" i="8"/>
  <c r="AV32" i="8"/>
  <c r="AW32" i="8"/>
  <c r="AV33" i="8"/>
  <c r="AW33" i="8"/>
  <c r="AV34" i="8"/>
  <c r="AW34" i="8"/>
  <c r="AV35" i="8"/>
  <c r="AW35" i="8"/>
  <c r="AV36" i="8"/>
  <c r="AW36" i="8"/>
  <c r="AV37" i="8"/>
  <c r="AW37" i="8"/>
  <c r="AW5" i="8"/>
  <c r="AV5" i="8"/>
  <c r="AT10" i="6"/>
  <c r="AT34" i="6"/>
  <c r="AT36" i="6"/>
  <c r="AT38" i="6"/>
  <c r="AU36" i="8"/>
  <c r="AT36" i="8"/>
  <c r="AU31" i="8"/>
  <c r="AT31" i="8"/>
  <c r="Y25" i="8"/>
  <c r="X25" i="8"/>
  <c r="X38" i="8"/>
  <c r="AT5" i="27"/>
  <c r="AV5" i="27"/>
  <c r="AZ5" i="27"/>
  <c r="AT27" i="27"/>
  <c r="AV27" i="27"/>
  <c r="AZ27" i="27" s="1"/>
  <c r="AT66" i="27"/>
  <c r="AU66" i="27"/>
  <c r="AU27" i="27"/>
  <c r="AW27" i="27"/>
  <c r="BA27" i="27"/>
  <c r="AS6" i="22"/>
  <c r="AS14" i="22"/>
  <c r="AQ14" i="22"/>
  <c r="AR22" i="6"/>
  <c r="AR66" i="27"/>
  <c r="AS66" i="27"/>
  <c r="AR14" i="11"/>
  <c r="AR27" i="11"/>
  <c r="AQ50" i="27"/>
  <c r="AO50" i="27"/>
  <c r="AO66" i="27"/>
  <c r="AN66" i="27"/>
  <c r="AK6" i="22"/>
  <c r="AK14" i="22"/>
  <c r="AK25" i="8"/>
  <c r="AJ25" i="8"/>
  <c r="AJ14" i="11"/>
  <c r="AC12" i="22"/>
  <c r="AC6" i="22"/>
  <c r="AC14" i="22"/>
  <c r="AB14" i="11"/>
  <c r="AC7" i="27"/>
  <c r="Y60" i="27"/>
  <c r="X65" i="27"/>
  <c r="X60" i="27"/>
  <c r="AV60" i="27"/>
  <c r="AZ60" i="27" s="1"/>
  <c r="X10" i="27"/>
  <c r="Z14" i="6"/>
  <c r="Z34" i="6"/>
  <c r="AA36" i="8"/>
  <c r="Z36" i="8"/>
  <c r="Z5" i="27"/>
  <c r="Z12" i="11"/>
  <c r="AU60" i="19"/>
  <c r="AU37" i="19"/>
  <c r="AU19" i="19"/>
  <c r="S36" i="8"/>
  <c r="R36" i="8"/>
  <c r="R20" i="8"/>
  <c r="S20" i="8"/>
  <c r="S12" i="8"/>
  <c r="R12" i="8"/>
  <c r="R38" i="8"/>
  <c r="R66" i="27"/>
  <c r="S66" i="27"/>
  <c r="S31" i="27"/>
  <c r="R31" i="27"/>
  <c r="AV31" i="27"/>
  <c r="AZ31" i="27" s="1"/>
  <c r="R26" i="27"/>
  <c r="AV26" i="27"/>
  <c r="AZ26" i="27"/>
  <c r="S26" i="27"/>
  <c r="AW26" i="27"/>
  <c r="BA26" i="27"/>
  <c r="S14" i="27"/>
  <c r="R14" i="27"/>
  <c r="T22" i="6"/>
  <c r="T34" i="6"/>
  <c r="T36" i="6"/>
  <c r="T38" i="6"/>
  <c r="T36" i="8"/>
  <c r="T38" i="8"/>
  <c r="U36" i="8"/>
  <c r="U38" i="8"/>
  <c r="T14" i="11"/>
  <c r="U57" i="19"/>
  <c r="U37" i="19"/>
  <c r="U19" i="19"/>
  <c r="Y19" i="19"/>
  <c r="AK37" i="19"/>
  <c r="AQ31" i="19"/>
  <c r="AQ19" i="19"/>
  <c r="AI23" i="27"/>
  <c r="AW23" i="27"/>
  <c r="BA23" i="27"/>
  <c r="AI5" i="27"/>
  <c r="AI10" i="27"/>
  <c r="AI47" i="27"/>
  <c r="AH47" i="27"/>
  <c r="AH23" i="27"/>
  <c r="AH14" i="11"/>
  <c r="AH27" i="11"/>
  <c r="AI37" i="19"/>
  <c r="AI19" i="19"/>
  <c r="AG6" i="22"/>
  <c r="AG5" i="22"/>
  <c r="AG36" i="8"/>
  <c r="AG26" i="8"/>
  <c r="AF36" i="8"/>
  <c r="AF26" i="8"/>
  <c r="AH50" i="27"/>
  <c r="AI50" i="27"/>
  <c r="AJ50" i="27"/>
  <c r="AK50" i="27"/>
  <c r="AF50" i="27"/>
  <c r="AG50" i="27"/>
  <c r="AG47" i="27"/>
  <c r="Q6" i="22"/>
  <c r="Q14" i="22"/>
  <c r="O6" i="22"/>
  <c r="O29" i="8"/>
  <c r="N29" i="8"/>
  <c r="O7" i="27"/>
  <c r="O5" i="27"/>
  <c r="O66" i="27"/>
  <c r="N66" i="27"/>
  <c r="O19" i="19"/>
  <c r="M6" i="22"/>
  <c r="M23" i="27"/>
  <c r="L23" i="27"/>
  <c r="M5" i="27"/>
  <c r="K6" i="22"/>
  <c r="K36" i="8"/>
  <c r="J36" i="8"/>
  <c r="J38" i="8"/>
  <c r="H34" i="8"/>
  <c r="H27" i="27"/>
  <c r="I27" i="27"/>
  <c r="E19" i="19"/>
  <c r="B24" i="8"/>
  <c r="B38" i="8"/>
  <c r="AE6" i="22"/>
  <c r="AD22" i="6"/>
  <c r="AE36" i="8"/>
  <c r="AE38" i="8"/>
  <c r="AD36" i="8"/>
  <c r="AV5" i="3"/>
  <c r="AW5" i="3"/>
  <c r="BA5" i="3"/>
  <c r="AZ5" i="3"/>
  <c r="AV6" i="3"/>
  <c r="AZ6" i="3"/>
  <c r="AW6" i="3"/>
  <c r="BA6" i="3"/>
  <c r="AV7" i="3"/>
  <c r="AZ7" i="3"/>
  <c r="AW7" i="3"/>
  <c r="BA7" i="3"/>
  <c r="AV8" i="3"/>
  <c r="AZ8" i="3"/>
  <c r="AW8" i="3"/>
  <c r="BA8" i="3"/>
  <c r="AV9" i="3"/>
  <c r="AZ9" i="3"/>
  <c r="AW9" i="3"/>
  <c r="BA9" i="3"/>
  <c r="AV10" i="3"/>
  <c r="AZ10" i="3"/>
  <c r="AW10" i="3"/>
  <c r="BA10" i="3"/>
  <c r="AV11" i="3"/>
  <c r="AZ11" i="3"/>
  <c r="AW11" i="3"/>
  <c r="BA11" i="3"/>
  <c r="AV12" i="3"/>
  <c r="AZ12" i="3"/>
  <c r="AW12" i="3"/>
  <c r="BA12" i="3"/>
  <c r="AV13" i="3"/>
  <c r="AZ13" i="3"/>
  <c r="AW13" i="3"/>
  <c r="BA13" i="3"/>
  <c r="AV14" i="3"/>
  <c r="AZ14" i="3"/>
  <c r="AW14" i="3"/>
  <c r="BA14" i="3"/>
  <c r="AV15" i="3"/>
  <c r="AZ15" i="3"/>
  <c r="AW15" i="3"/>
  <c r="BA15" i="3"/>
  <c r="B16" i="3"/>
  <c r="B18" i="3"/>
  <c r="C16" i="3"/>
  <c r="D16" i="3"/>
  <c r="D18" i="3"/>
  <c r="E16" i="3"/>
  <c r="E18" i="3"/>
  <c r="F16" i="3"/>
  <c r="G16" i="3"/>
  <c r="G18" i="3"/>
  <c r="H16" i="3"/>
  <c r="I16" i="3"/>
  <c r="J16" i="3"/>
  <c r="J18" i="3"/>
  <c r="K16" i="3"/>
  <c r="L16" i="3"/>
  <c r="L18" i="3"/>
  <c r="M16" i="3"/>
  <c r="M18" i="3"/>
  <c r="N16" i="3"/>
  <c r="N18" i="3"/>
  <c r="O16" i="3"/>
  <c r="O18" i="3"/>
  <c r="P16" i="3"/>
  <c r="P18" i="3"/>
  <c r="Q16" i="3"/>
  <c r="R16" i="3"/>
  <c r="R18" i="3"/>
  <c r="S16" i="3"/>
  <c r="T16" i="3"/>
  <c r="T18" i="3"/>
  <c r="U16" i="3"/>
  <c r="U18" i="3"/>
  <c r="V16" i="3"/>
  <c r="V18" i="3"/>
  <c r="W16" i="3"/>
  <c r="W18" i="3"/>
  <c r="X16" i="3"/>
  <c r="X18" i="3"/>
  <c r="Y16" i="3"/>
  <c r="Y18" i="3"/>
  <c r="Z16" i="3"/>
  <c r="Z18" i="3"/>
  <c r="AA16" i="3"/>
  <c r="AA18" i="3"/>
  <c r="AB16" i="3"/>
  <c r="AC16" i="3"/>
  <c r="AD16" i="3"/>
  <c r="AD18" i="3"/>
  <c r="AE16" i="3"/>
  <c r="AE18" i="3"/>
  <c r="AF16" i="3"/>
  <c r="AF18" i="3"/>
  <c r="AG16" i="3"/>
  <c r="AG18" i="3"/>
  <c r="AH16" i="3"/>
  <c r="AH18" i="3"/>
  <c r="AI16" i="3"/>
  <c r="AJ16" i="3"/>
  <c r="AJ18" i="3"/>
  <c r="AK16" i="3"/>
  <c r="AL16" i="3"/>
  <c r="AL18" i="3"/>
  <c r="AM16" i="3"/>
  <c r="AM18" i="3"/>
  <c r="AN16" i="3"/>
  <c r="AO16" i="3"/>
  <c r="AO18" i="3"/>
  <c r="AP16" i="3"/>
  <c r="AP18" i="3"/>
  <c r="AQ16" i="3"/>
  <c r="AR16" i="3"/>
  <c r="AR18" i="3"/>
  <c r="AS16" i="3"/>
  <c r="AS18" i="3"/>
  <c r="AT16" i="3"/>
  <c r="AT18" i="3"/>
  <c r="AU16" i="3"/>
  <c r="AU18" i="3"/>
  <c r="AX16" i="3"/>
  <c r="AY16" i="3"/>
  <c r="AY18" i="3"/>
  <c r="AV17" i="3"/>
  <c r="AZ17" i="3"/>
  <c r="AW17" i="3"/>
  <c r="BA17" i="3"/>
  <c r="H18" i="3"/>
  <c r="I18" i="3"/>
  <c r="K18" i="3"/>
  <c r="Q18" i="3"/>
  <c r="S18" i="3"/>
  <c r="AB18" i="3"/>
  <c r="AC18" i="3"/>
  <c r="AI18" i="3"/>
  <c r="AK18" i="3"/>
  <c r="AN18" i="3"/>
  <c r="AQ18" i="3"/>
  <c r="AX18" i="3"/>
  <c r="AV5" i="4"/>
  <c r="AZ5" i="4"/>
  <c r="AW5" i="4"/>
  <c r="BA5" i="4"/>
  <c r="AV6" i="4"/>
  <c r="AZ6" i="4"/>
  <c r="AW6" i="4"/>
  <c r="BA6" i="4"/>
  <c r="AV7" i="4"/>
  <c r="AZ7" i="4"/>
  <c r="AW7" i="4"/>
  <c r="BA7" i="4"/>
  <c r="AV8" i="4"/>
  <c r="AZ8" i="4"/>
  <c r="AW8" i="4"/>
  <c r="BA8" i="4"/>
  <c r="AV9" i="4"/>
  <c r="AZ9" i="4"/>
  <c r="AW9" i="4"/>
  <c r="BA9" i="4"/>
  <c r="AV10" i="4"/>
  <c r="AZ10" i="4"/>
  <c r="AW10" i="4"/>
  <c r="BA10" i="4"/>
  <c r="AV11" i="4"/>
  <c r="AZ11" i="4"/>
  <c r="AW11" i="4"/>
  <c r="BA11" i="4"/>
  <c r="AV12" i="4"/>
  <c r="AZ12" i="4"/>
  <c r="AW12" i="4"/>
  <c r="BA12" i="4"/>
  <c r="AV13" i="4"/>
  <c r="AZ13" i="4"/>
  <c r="AW13" i="4"/>
  <c r="BA13" i="4"/>
  <c r="AV14" i="4"/>
  <c r="AZ14" i="4"/>
  <c r="AW14" i="4"/>
  <c r="BA14" i="4"/>
  <c r="AV15" i="4"/>
  <c r="AZ15" i="4"/>
  <c r="AW15" i="4"/>
  <c r="BA15" i="4"/>
  <c r="B16" i="4"/>
  <c r="B18" i="4"/>
  <c r="C16" i="4"/>
  <c r="D16" i="4"/>
  <c r="E16" i="4"/>
  <c r="E18" i="4"/>
  <c r="F16" i="4"/>
  <c r="F18" i="4"/>
  <c r="G16" i="4"/>
  <c r="G18" i="4"/>
  <c r="H16" i="4"/>
  <c r="H18" i="4"/>
  <c r="I16" i="4"/>
  <c r="J16" i="4"/>
  <c r="K16" i="4"/>
  <c r="K18" i="4"/>
  <c r="L16" i="4"/>
  <c r="L18" i="4"/>
  <c r="M16" i="4"/>
  <c r="M18" i="4"/>
  <c r="N16" i="4"/>
  <c r="N18" i="4"/>
  <c r="O16" i="4"/>
  <c r="P16" i="4"/>
  <c r="P18" i="4"/>
  <c r="Q16" i="4"/>
  <c r="Q18" i="4"/>
  <c r="R16" i="4"/>
  <c r="R18" i="4"/>
  <c r="S16" i="4"/>
  <c r="T16" i="4"/>
  <c r="U16" i="4"/>
  <c r="U18" i="4"/>
  <c r="V16" i="4"/>
  <c r="V18" i="4"/>
  <c r="W16" i="4"/>
  <c r="X16" i="4"/>
  <c r="X18" i="4"/>
  <c r="Y16" i="4"/>
  <c r="Y18" i="4"/>
  <c r="Z16" i="4"/>
  <c r="Z18" i="4"/>
  <c r="AA16" i="4"/>
  <c r="AA18" i="4"/>
  <c r="AB16" i="4"/>
  <c r="AC16" i="4"/>
  <c r="AC18" i="4"/>
  <c r="AD16" i="4"/>
  <c r="AE16" i="4"/>
  <c r="AE18" i="4"/>
  <c r="AF16" i="4"/>
  <c r="AF18" i="4"/>
  <c r="AG16" i="4"/>
  <c r="AG18" i="4"/>
  <c r="AH16" i="4"/>
  <c r="AI16" i="4"/>
  <c r="AJ16" i="4"/>
  <c r="AK16" i="4"/>
  <c r="AK18" i="4"/>
  <c r="AL16" i="4"/>
  <c r="AL18" i="4"/>
  <c r="AM16" i="4"/>
  <c r="AM18" i="4"/>
  <c r="AN16" i="4"/>
  <c r="AN18" i="4"/>
  <c r="AO16" i="4"/>
  <c r="AO18" i="4"/>
  <c r="AP16" i="4"/>
  <c r="AQ16" i="4"/>
  <c r="AQ18" i="4"/>
  <c r="AR16" i="4"/>
  <c r="AR18" i="4"/>
  <c r="AS16" i="4"/>
  <c r="AS18" i="4"/>
  <c r="AT16" i="4"/>
  <c r="AT18" i="4"/>
  <c r="AU16" i="4"/>
  <c r="AU18" i="4"/>
  <c r="AX16" i="4"/>
  <c r="AX18" i="4"/>
  <c r="AY16" i="4"/>
  <c r="AV17" i="4"/>
  <c r="AZ17" i="4"/>
  <c r="AW17" i="4"/>
  <c r="BA17" i="4"/>
  <c r="C18" i="4"/>
  <c r="D18" i="4"/>
  <c r="I18" i="4"/>
  <c r="J18" i="4"/>
  <c r="O18" i="4"/>
  <c r="S18" i="4"/>
  <c r="T18" i="4"/>
  <c r="W18" i="4"/>
  <c r="AB18" i="4"/>
  <c r="AD18" i="4"/>
  <c r="AH18" i="4"/>
  <c r="AI18" i="4"/>
  <c r="AJ18" i="4"/>
  <c r="AP18" i="4"/>
  <c r="AY18" i="4"/>
  <c r="AV5" i="2"/>
  <c r="AZ5" i="2"/>
  <c r="AW5" i="2"/>
  <c r="BA5" i="2"/>
  <c r="AV6" i="2"/>
  <c r="AZ6" i="2"/>
  <c r="AW6" i="2"/>
  <c r="BA6" i="2"/>
  <c r="AV7" i="2"/>
  <c r="AZ7" i="2"/>
  <c r="AW7" i="2"/>
  <c r="BA7" i="2"/>
  <c r="AV8" i="2"/>
  <c r="AZ8" i="2"/>
  <c r="AW8" i="2"/>
  <c r="BA8" i="2"/>
  <c r="AV9" i="2"/>
  <c r="AZ9" i="2"/>
  <c r="AW9" i="2"/>
  <c r="BA9" i="2"/>
  <c r="AV10" i="2"/>
  <c r="AZ10" i="2"/>
  <c r="AW10" i="2"/>
  <c r="BA10" i="2"/>
  <c r="X11" i="2"/>
  <c r="X12" i="2"/>
  <c r="X14" i="2"/>
  <c r="AW11" i="2"/>
  <c r="BA11" i="2"/>
  <c r="B12" i="2"/>
  <c r="C12" i="2"/>
  <c r="C14" i="2"/>
  <c r="D12" i="2"/>
  <c r="D14" i="2"/>
  <c r="E12" i="2"/>
  <c r="E14" i="2"/>
  <c r="F12" i="2"/>
  <c r="G12" i="2"/>
  <c r="G14" i="2"/>
  <c r="H12" i="2"/>
  <c r="H14" i="2"/>
  <c r="I12" i="2"/>
  <c r="I14" i="2"/>
  <c r="J12" i="2"/>
  <c r="J14" i="2"/>
  <c r="K12" i="2"/>
  <c r="K14" i="2"/>
  <c r="L12" i="2"/>
  <c r="M12" i="2"/>
  <c r="M14" i="2"/>
  <c r="N12" i="2"/>
  <c r="O12" i="2"/>
  <c r="O14" i="2"/>
  <c r="P12" i="2"/>
  <c r="P14" i="2"/>
  <c r="Q12" i="2"/>
  <c r="Q14" i="2"/>
  <c r="R12" i="2"/>
  <c r="AV12" i="2"/>
  <c r="AZ12" i="2"/>
  <c r="S12" i="2"/>
  <c r="S14" i="2"/>
  <c r="T12" i="2"/>
  <c r="T14" i="2"/>
  <c r="U12" i="2"/>
  <c r="U14" i="2"/>
  <c r="V12" i="2"/>
  <c r="V14" i="2"/>
  <c r="W12" i="2"/>
  <c r="W14" i="2"/>
  <c r="Y12" i="2"/>
  <c r="Y14" i="2"/>
  <c r="AW14" i="2"/>
  <c r="Z12" i="2"/>
  <c r="Z14" i="2"/>
  <c r="AA12" i="2"/>
  <c r="AA14" i="2"/>
  <c r="AB12" i="2"/>
  <c r="AB14" i="2"/>
  <c r="AC12" i="2"/>
  <c r="AD12" i="2"/>
  <c r="AD14" i="2"/>
  <c r="AE12" i="2"/>
  <c r="AE14" i="2"/>
  <c r="AF12" i="2"/>
  <c r="AF14" i="2"/>
  <c r="AG12" i="2"/>
  <c r="AG14" i="2"/>
  <c r="AH12" i="2"/>
  <c r="AH14" i="2"/>
  <c r="AI12" i="2"/>
  <c r="AJ12" i="2"/>
  <c r="AJ14" i="2"/>
  <c r="AK12" i="2"/>
  <c r="AK14" i="2"/>
  <c r="AL12" i="2"/>
  <c r="AL14" i="2"/>
  <c r="AM12" i="2"/>
  <c r="AN12" i="2"/>
  <c r="AN14" i="2"/>
  <c r="AO12" i="2"/>
  <c r="AO14" i="2"/>
  <c r="AP12" i="2"/>
  <c r="AP14" i="2"/>
  <c r="AQ12" i="2"/>
  <c r="AQ14" i="2"/>
  <c r="AR12" i="2"/>
  <c r="AS12" i="2"/>
  <c r="AT12" i="2"/>
  <c r="AT14" i="2"/>
  <c r="AU12" i="2"/>
  <c r="AU14" i="2"/>
  <c r="AX12" i="2"/>
  <c r="AX14" i="2"/>
  <c r="AY12" i="2"/>
  <c r="AY14" i="2" s="1"/>
  <c r="BA14" i="2" s="1"/>
  <c r="AV13" i="2"/>
  <c r="AZ13" i="2"/>
  <c r="AW13" i="2"/>
  <c r="BA13" i="2"/>
  <c r="B14" i="2"/>
  <c r="F14" i="2"/>
  <c r="L14" i="2"/>
  <c r="N14" i="2"/>
  <c r="R14" i="2"/>
  <c r="AV14" i="2"/>
  <c r="AZ14" i="2"/>
  <c r="AC14" i="2"/>
  <c r="AI14" i="2"/>
  <c r="AM14" i="2"/>
  <c r="AR14" i="2"/>
  <c r="AS14" i="2"/>
  <c r="AV5" i="1"/>
  <c r="AZ5" i="1"/>
  <c r="AW5" i="1"/>
  <c r="BA5" i="1"/>
  <c r="AV6" i="1"/>
  <c r="AZ6" i="1"/>
  <c r="AW6" i="1"/>
  <c r="BA6" i="1"/>
  <c r="AV7" i="1"/>
  <c r="AZ7" i="1"/>
  <c r="AW7" i="1"/>
  <c r="BA7" i="1"/>
  <c r="AV8" i="1"/>
  <c r="AZ8" i="1"/>
  <c r="AW8" i="1"/>
  <c r="BA8" i="1"/>
  <c r="AV9" i="1"/>
  <c r="AZ9" i="1"/>
  <c r="AW9" i="1"/>
  <c r="BA9" i="1"/>
  <c r="AV10" i="1"/>
  <c r="AZ10" i="1"/>
  <c r="AW10" i="1"/>
  <c r="BA10" i="1"/>
  <c r="AV11" i="1"/>
  <c r="AZ11" i="1"/>
  <c r="AW11" i="1"/>
  <c r="BA11" i="1"/>
  <c r="B12" i="1"/>
  <c r="C12" i="1"/>
  <c r="D12" i="1"/>
  <c r="D14" i="1"/>
  <c r="E12" i="1"/>
  <c r="F12" i="1"/>
  <c r="G12" i="1"/>
  <c r="G14" i="1"/>
  <c r="H12" i="1"/>
  <c r="I12" i="1"/>
  <c r="I14" i="1"/>
  <c r="J12" i="1"/>
  <c r="J14" i="1"/>
  <c r="K12" i="1"/>
  <c r="K14" i="1"/>
  <c r="L12" i="1"/>
  <c r="L14" i="1"/>
  <c r="M12" i="1"/>
  <c r="M14" i="1"/>
  <c r="N12" i="1"/>
  <c r="N14" i="1"/>
  <c r="O12" i="1"/>
  <c r="AW12" i="1"/>
  <c r="P12" i="1"/>
  <c r="P14" i="1"/>
  <c r="Q12" i="1"/>
  <c r="R12" i="1"/>
  <c r="S12" i="1"/>
  <c r="T12" i="1"/>
  <c r="T14" i="1"/>
  <c r="U12" i="1"/>
  <c r="U14" i="1"/>
  <c r="V12" i="1"/>
  <c r="V14" i="1"/>
  <c r="W12" i="1"/>
  <c r="W14" i="1"/>
  <c r="X12" i="1"/>
  <c r="X14" i="1"/>
  <c r="Y12" i="1"/>
  <c r="Y14" i="1"/>
  <c r="Z12" i="1"/>
  <c r="AA12" i="1"/>
  <c r="AB12" i="1"/>
  <c r="AB14" i="1"/>
  <c r="AC12" i="1"/>
  <c r="AC14" i="1"/>
  <c r="AD12" i="1"/>
  <c r="AD14" i="1"/>
  <c r="AE12" i="1"/>
  <c r="AE14" i="1"/>
  <c r="AF12" i="1"/>
  <c r="AG12" i="1"/>
  <c r="AH12" i="1"/>
  <c r="AI12" i="1"/>
  <c r="AI14" i="1"/>
  <c r="AJ12" i="1"/>
  <c r="AJ14" i="1"/>
  <c r="AK12" i="1"/>
  <c r="AK14" i="1"/>
  <c r="AL12" i="1"/>
  <c r="AM12" i="1"/>
  <c r="AN12" i="1"/>
  <c r="AO12" i="1"/>
  <c r="AO14" i="1"/>
  <c r="AP12" i="1"/>
  <c r="AP14" i="1"/>
  <c r="AQ12" i="1"/>
  <c r="AQ14" i="1"/>
  <c r="AR12" i="1"/>
  <c r="AR14" i="1"/>
  <c r="AS12" i="1"/>
  <c r="AS14" i="1"/>
  <c r="AT12" i="1"/>
  <c r="AT14" i="1"/>
  <c r="AU12" i="1"/>
  <c r="AU14" i="1"/>
  <c r="AX12" i="1"/>
  <c r="AY12" i="1"/>
  <c r="AY14" i="1" s="1"/>
  <c r="BA14" i="1" s="1"/>
  <c r="AV13" i="1"/>
  <c r="AZ13" i="1"/>
  <c r="AW13" i="1"/>
  <c r="BA13" i="1"/>
  <c r="B14" i="1"/>
  <c r="C14" i="1"/>
  <c r="F14" i="1"/>
  <c r="H14" i="1"/>
  <c r="Q14" i="1"/>
  <c r="R14" i="1"/>
  <c r="S14" i="1"/>
  <c r="Z14" i="1"/>
  <c r="AA14" i="1"/>
  <c r="AF14" i="1"/>
  <c r="AG14" i="1"/>
  <c r="AH14" i="1"/>
  <c r="AL14" i="1"/>
  <c r="AM14" i="1"/>
  <c r="AN14" i="1"/>
  <c r="AX14" i="1"/>
  <c r="Y5" i="28"/>
  <c r="AA5" i="28"/>
  <c r="Y6" i="28"/>
  <c r="AA6" i="28"/>
  <c r="Y7" i="28"/>
  <c r="AA7" i="28"/>
  <c r="Y8" i="28"/>
  <c r="AA8" i="28"/>
  <c r="Y9" i="28"/>
  <c r="AA9" i="28"/>
  <c r="Y10" i="28"/>
  <c r="AA10" i="28"/>
  <c r="Y11" i="28"/>
  <c r="AA11" i="28"/>
  <c r="Y12" i="28"/>
  <c r="AA12" i="28"/>
  <c r="Y13" i="28"/>
  <c r="AA13" i="28"/>
  <c r="Y14" i="28"/>
  <c r="AA14" i="28"/>
  <c r="Y15" i="28"/>
  <c r="AA15" i="28"/>
  <c r="Y16" i="28"/>
  <c r="AA16" i="28"/>
  <c r="Y17" i="28"/>
  <c r="AA17" i="28"/>
  <c r="Y18" i="28"/>
  <c r="AA18" i="28"/>
  <c r="Y19" i="28"/>
  <c r="AA19" i="28"/>
  <c r="Y20" i="28"/>
  <c r="AA20" i="28"/>
  <c r="Y21" i="28"/>
  <c r="AA21" i="28"/>
  <c r="Y22" i="28"/>
  <c r="AA22" i="28"/>
  <c r="Y6" i="29"/>
  <c r="AA6" i="29"/>
  <c r="Y7" i="29"/>
  <c r="AA7" i="29"/>
  <c r="Y8" i="29"/>
  <c r="AA8" i="29"/>
  <c r="Y9" i="29"/>
  <c r="AA9" i="29"/>
  <c r="Y10" i="29"/>
  <c r="AA10" i="29"/>
  <c r="Y11" i="29"/>
  <c r="AA11" i="29"/>
  <c r="Y12" i="29"/>
  <c r="B13" i="29"/>
  <c r="C13" i="29"/>
  <c r="E13" i="29"/>
  <c r="F13" i="29"/>
  <c r="G13" i="29"/>
  <c r="H13" i="29"/>
  <c r="I22" i="29"/>
  <c r="J13" i="29"/>
  <c r="J22" i="29"/>
  <c r="J25" i="29"/>
  <c r="K13" i="29"/>
  <c r="K22" i="29"/>
  <c r="L13" i="29"/>
  <c r="L22" i="29"/>
  <c r="L25" i="29"/>
  <c r="L32" i="29"/>
  <c r="L42" i="29"/>
  <c r="M13" i="29"/>
  <c r="M19" i="29"/>
  <c r="N13" i="29"/>
  <c r="N19" i="29"/>
  <c r="N22" i="29"/>
  <c r="N25" i="29"/>
  <c r="N32" i="29"/>
  <c r="N42" i="29"/>
  <c r="O13" i="29"/>
  <c r="P13" i="29"/>
  <c r="P22" i="29"/>
  <c r="P25" i="29"/>
  <c r="P32" i="29"/>
  <c r="P42" i="29"/>
  <c r="Q13" i="29"/>
  <c r="Q19" i="29"/>
  <c r="R13" i="29"/>
  <c r="S13" i="29"/>
  <c r="S19" i="29"/>
  <c r="U13" i="29"/>
  <c r="U22" i="29"/>
  <c r="U25" i="29"/>
  <c r="U32" i="29"/>
  <c r="U42" i="29"/>
  <c r="V13" i="29"/>
  <c r="W13" i="29"/>
  <c r="W19" i="29"/>
  <c r="X13" i="29"/>
  <c r="Y14" i="29"/>
  <c r="AA14" i="29"/>
  <c r="Y15" i="29"/>
  <c r="AA15" i="29"/>
  <c r="Y16" i="29"/>
  <c r="AA16" i="29"/>
  <c r="Y17" i="29"/>
  <c r="AA17" i="29"/>
  <c r="Y18" i="29"/>
  <c r="AA18" i="29"/>
  <c r="B19" i="29"/>
  <c r="E19" i="29"/>
  <c r="F19" i="29"/>
  <c r="I19" i="29"/>
  <c r="O19" i="29"/>
  <c r="O22" i="29"/>
  <c r="R19" i="29"/>
  <c r="X19" i="29"/>
  <c r="I20" i="29"/>
  <c r="Y20" i="29"/>
  <c r="AA20" i="29"/>
  <c r="Y21" i="29"/>
  <c r="B22" i="29"/>
  <c r="C22" i="29"/>
  <c r="C25" i="29"/>
  <c r="C32" i="29"/>
  <c r="C42" i="29"/>
  <c r="F22" i="29"/>
  <c r="G22" i="29"/>
  <c r="H22" i="29"/>
  <c r="R22" i="29"/>
  <c r="V22" i="29"/>
  <c r="X22" i="29"/>
  <c r="Y23" i="29"/>
  <c r="AA23" i="29"/>
  <c r="Y24" i="29"/>
  <c r="AA24" i="29"/>
  <c r="B25" i="29"/>
  <c r="B32" i="29"/>
  <c r="F25" i="29"/>
  <c r="G25" i="29"/>
  <c r="H25" i="29"/>
  <c r="H32" i="29"/>
  <c r="H42" i="29"/>
  <c r="R25" i="29"/>
  <c r="V25" i="29"/>
  <c r="X25" i="29"/>
  <c r="Y26" i="29"/>
  <c r="AA26" i="29"/>
  <c r="Y27" i="29"/>
  <c r="Y28" i="29"/>
  <c r="AA28" i="29"/>
  <c r="Y29" i="29"/>
  <c r="AA29" i="29"/>
  <c r="Y30" i="29"/>
  <c r="AA30" i="29"/>
  <c r="Y31" i="29"/>
  <c r="F32" i="29"/>
  <c r="F42" i="29"/>
  <c r="G32" i="29"/>
  <c r="G42" i="29"/>
  <c r="R32" i="29"/>
  <c r="R42" i="29"/>
  <c r="V32" i="29"/>
  <c r="V42" i="29"/>
  <c r="X32" i="29"/>
  <c r="X42" i="29"/>
  <c r="Y33" i="29"/>
  <c r="AA33" i="29"/>
  <c r="Y34" i="29"/>
  <c r="Y35" i="29"/>
  <c r="Y36" i="29"/>
  <c r="Y37" i="29"/>
  <c r="Y39" i="29"/>
  <c r="Y40" i="29"/>
  <c r="Y41" i="29"/>
  <c r="D42" i="29"/>
  <c r="M42" i="29"/>
  <c r="T42" i="29"/>
  <c r="B8" i="23"/>
  <c r="C8" i="23"/>
  <c r="D8" i="23"/>
  <c r="E8" i="23"/>
  <c r="F8" i="23"/>
  <c r="G8" i="23"/>
  <c r="H8" i="23"/>
  <c r="I8" i="23"/>
  <c r="J8" i="23"/>
  <c r="K8" i="23"/>
  <c r="L8" i="23"/>
  <c r="M8" i="23"/>
  <c r="N8" i="23"/>
  <c r="O8" i="23"/>
  <c r="P8" i="23"/>
  <c r="Q8" i="23"/>
  <c r="R8" i="23"/>
  <c r="S8" i="23"/>
  <c r="T8" i="23"/>
  <c r="U8" i="23"/>
  <c r="V8" i="23"/>
  <c r="W8" i="23"/>
  <c r="X8" i="23"/>
  <c r="Y8" i="23"/>
  <c r="Z8" i="23"/>
  <c r="AA8" i="23"/>
  <c r="AV4" i="22"/>
  <c r="AZ4" i="22"/>
  <c r="AW4" i="22"/>
  <c r="BA4" i="22"/>
  <c r="AV5" i="22"/>
  <c r="AZ5" i="22"/>
  <c r="AV6" i="22"/>
  <c r="AZ6" i="22"/>
  <c r="AV7" i="22"/>
  <c r="AZ7" i="22"/>
  <c r="AW7" i="22"/>
  <c r="BA7" i="22"/>
  <c r="AV8" i="22"/>
  <c r="AZ8" i="22"/>
  <c r="AW8" i="22"/>
  <c r="BA8" i="22"/>
  <c r="AV9" i="22"/>
  <c r="AZ9" i="22"/>
  <c r="AW9" i="22"/>
  <c r="BA9" i="22"/>
  <c r="AV10" i="22"/>
  <c r="AZ10" i="22"/>
  <c r="AW10" i="22"/>
  <c r="BA10" i="22"/>
  <c r="AV11" i="22"/>
  <c r="AZ11" i="22"/>
  <c r="AW11" i="22"/>
  <c r="BA11" i="22"/>
  <c r="AV12" i="22"/>
  <c r="AZ12" i="22"/>
  <c r="AW12" i="22"/>
  <c r="BA12" i="22"/>
  <c r="AV13" i="22"/>
  <c r="AZ13" i="22"/>
  <c r="AW13" i="22"/>
  <c r="BA13" i="22"/>
  <c r="B14" i="22"/>
  <c r="C14" i="22"/>
  <c r="D14" i="22"/>
  <c r="E14" i="22"/>
  <c r="F14" i="22"/>
  <c r="G14" i="22"/>
  <c r="H14" i="22"/>
  <c r="I14" i="22"/>
  <c r="J14" i="22"/>
  <c r="K14" i="22"/>
  <c r="L14" i="22"/>
  <c r="M14" i="22"/>
  <c r="N14" i="22"/>
  <c r="O14" i="22"/>
  <c r="P14" i="22"/>
  <c r="R14" i="22"/>
  <c r="S14" i="22"/>
  <c r="T14" i="22"/>
  <c r="U14" i="22"/>
  <c r="V14" i="22"/>
  <c r="W14" i="22"/>
  <c r="X14" i="22"/>
  <c r="Y14" i="22"/>
  <c r="Z14" i="22"/>
  <c r="AA14" i="22"/>
  <c r="AB14" i="22"/>
  <c r="AD14" i="22"/>
  <c r="AF14" i="22"/>
  <c r="AV14" i="22"/>
  <c r="AZ14" i="22"/>
  <c r="AH14" i="22"/>
  <c r="AI14" i="22"/>
  <c r="AJ14" i="22"/>
  <c r="AL14" i="22"/>
  <c r="AN14" i="22"/>
  <c r="AO14" i="22"/>
  <c r="AP14" i="22"/>
  <c r="AR14" i="22"/>
  <c r="AT14" i="22"/>
  <c r="AU14" i="22"/>
  <c r="AX14" i="22"/>
  <c r="AY14" i="22"/>
  <c r="BA6" i="6"/>
  <c r="BA7" i="6"/>
  <c r="BA8" i="6"/>
  <c r="AU10" i="6"/>
  <c r="BA11" i="6"/>
  <c r="BA12" i="6"/>
  <c r="BA13" i="6"/>
  <c r="BA15" i="6"/>
  <c r="AY15" i="6"/>
  <c r="AY34" i="6"/>
  <c r="AY36" i="6"/>
  <c r="AY38" i="6"/>
  <c r="BA16" i="6"/>
  <c r="BA17" i="6"/>
  <c r="BA18" i="6"/>
  <c r="BA19" i="6"/>
  <c r="BA20" i="6"/>
  <c r="BA21" i="6"/>
  <c r="U22" i="6"/>
  <c r="U34" i="6"/>
  <c r="U36" i="6"/>
  <c r="U38" i="6"/>
  <c r="AS22" i="6"/>
  <c r="AS34" i="6"/>
  <c r="AS36" i="6"/>
  <c r="AS38" i="6"/>
  <c r="BA24" i="6"/>
  <c r="I27" i="6"/>
  <c r="BA28" i="6"/>
  <c r="B34" i="6"/>
  <c r="B36" i="6"/>
  <c r="B38" i="6"/>
  <c r="C34" i="6"/>
  <c r="D34" i="6"/>
  <c r="D36" i="6"/>
  <c r="E34" i="6"/>
  <c r="E36" i="6"/>
  <c r="F34" i="6"/>
  <c r="F36" i="6"/>
  <c r="G34" i="6"/>
  <c r="G36" i="6"/>
  <c r="G38" i="6"/>
  <c r="H34" i="6"/>
  <c r="H36" i="6"/>
  <c r="H38" i="6"/>
  <c r="J34" i="6"/>
  <c r="J36" i="6"/>
  <c r="J38" i="6"/>
  <c r="K34" i="6"/>
  <c r="K36" i="6"/>
  <c r="K38" i="6"/>
  <c r="L34" i="6"/>
  <c r="L36" i="6"/>
  <c r="L38" i="6"/>
  <c r="M34" i="6"/>
  <c r="N34" i="6"/>
  <c r="N36" i="6"/>
  <c r="N38" i="6"/>
  <c r="O34" i="6"/>
  <c r="O36" i="6"/>
  <c r="O38" i="6"/>
  <c r="P34" i="6"/>
  <c r="P36" i="6"/>
  <c r="P38" i="6"/>
  <c r="Q34" i="6"/>
  <c r="R34" i="6"/>
  <c r="R36" i="6"/>
  <c r="R38" i="6"/>
  <c r="S34" i="6"/>
  <c r="S36" i="6"/>
  <c r="V34" i="6"/>
  <c r="V36" i="6"/>
  <c r="V38" i="6"/>
  <c r="W34" i="6"/>
  <c r="W36" i="6"/>
  <c r="W38" i="6"/>
  <c r="X34" i="6"/>
  <c r="AV34" i="6" s="1"/>
  <c r="AZ34" i="6" s="1"/>
  <c r="Y34" i="6"/>
  <c r="Z36" i="6"/>
  <c r="Z38" i="6"/>
  <c r="AA34" i="6"/>
  <c r="AA36" i="6"/>
  <c r="AA38" i="6"/>
  <c r="AB34" i="6"/>
  <c r="AB36" i="6"/>
  <c r="AB38" i="6"/>
  <c r="AC34" i="6"/>
  <c r="AC36" i="6"/>
  <c r="AC38" i="6"/>
  <c r="AD34" i="6"/>
  <c r="AD36" i="6"/>
  <c r="AD38" i="6"/>
  <c r="AE34" i="6"/>
  <c r="AF34" i="6"/>
  <c r="AF36" i="6"/>
  <c r="AF38" i="6"/>
  <c r="AG34" i="6"/>
  <c r="AH34" i="6"/>
  <c r="AH36" i="6"/>
  <c r="AH38" i="6"/>
  <c r="AI34" i="6"/>
  <c r="AI36" i="6"/>
  <c r="AI38" i="6"/>
  <c r="AJ34" i="6"/>
  <c r="AJ36" i="6"/>
  <c r="AJ38" i="6"/>
  <c r="AK34" i="6"/>
  <c r="AK36" i="6"/>
  <c r="AK38" i="6"/>
  <c r="AL34" i="6"/>
  <c r="AL36" i="6"/>
  <c r="AL38" i="6"/>
  <c r="AM34" i="6"/>
  <c r="AN34" i="6"/>
  <c r="AN36" i="6"/>
  <c r="AN38" i="6"/>
  <c r="AO34" i="6"/>
  <c r="AO36" i="6"/>
  <c r="AP34" i="6"/>
  <c r="AP36" i="6"/>
  <c r="AP38" i="6"/>
  <c r="AQ34" i="6"/>
  <c r="AQ36" i="6"/>
  <c r="AQ38" i="6"/>
  <c r="AR34" i="6"/>
  <c r="AR36" i="6"/>
  <c r="AR38" i="6"/>
  <c r="AX34" i="6"/>
  <c r="AX36" i="6"/>
  <c r="AX38" i="6"/>
  <c r="M36" i="6"/>
  <c r="Q36" i="6"/>
  <c r="Q38" i="6"/>
  <c r="AE36" i="6"/>
  <c r="AE38" i="6"/>
  <c r="AG36" i="6"/>
  <c r="AG38" i="6"/>
  <c r="AM36" i="6"/>
  <c r="AM38" i="6"/>
  <c r="AO38" i="6"/>
  <c r="M38" i="6"/>
  <c r="X38" i="6"/>
  <c r="AV38" i="6" s="1"/>
  <c r="AZ38" i="6" s="1"/>
  <c r="Y38" i="6"/>
  <c r="BF38" i="6"/>
  <c r="AY36" i="8"/>
  <c r="AY38" i="8"/>
  <c r="C38" i="8"/>
  <c r="D38" i="8"/>
  <c r="E38" i="8"/>
  <c r="F38" i="8"/>
  <c r="G38" i="8"/>
  <c r="H38" i="8"/>
  <c r="I38" i="8"/>
  <c r="K38" i="8"/>
  <c r="L38" i="8"/>
  <c r="M38" i="8"/>
  <c r="N38" i="8"/>
  <c r="AV38" i="8"/>
  <c r="AZ38" i="8"/>
  <c r="O38" i="8"/>
  <c r="P38" i="8"/>
  <c r="Q38" i="8"/>
  <c r="V38" i="8"/>
  <c r="W38" i="8"/>
  <c r="Y38" i="8"/>
  <c r="Z38" i="8"/>
  <c r="AA38" i="8"/>
  <c r="AW38" i="8"/>
  <c r="BA38" i="8"/>
  <c r="AB38" i="8"/>
  <c r="AC38" i="8"/>
  <c r="AD38" i="8"/>
  <c r="AH38" i="8"/>
  <c r="AI38" i="8"/>
  <c r="AJ38" i="8"/>
  <c r="AK38" i="8"/>
  <c r="AL38" i="8"/>
  <c r="AM38" i="8"/>
  <c r="AN38" i="8"/>
  <c r="AO38" i="8"/>
  <c r="AP38" i="8"/>
  <c r="AQ38" i="8"/>
  <c r="AR38" i="8"/>
  <c r="AS38" i="8"/>
  <c r="AU38" i="8"/>
  <c r="AX38" i="8"/>
  <c r="AV39" i="8"/>
  <c r="AZ39" i="8"/>
  <c r="AW39" i="8"/>
  <c r="AV6" i="7"/>
  <c r="AZ6" i="7"/>
  <c r="AW6" i="7"/>
  <c r="BA6" i="7"/>
  <c r="AV7" i="7"/>
  <c r="AZ7" i="7"/>
  <c r="AW7" i="7"/>
  <c r="BA7" i="7"/>
  <c r="AV8" i="7"/>
  <c r="AZ8" i="7"/>
  <c r="AW8" i="7"/>
  <c r="BA8" i="7"/>
  <c r="B9" i="7"/>
  <c r="B12" i="7"/>
  <c r="C9" i="7"/>
  <c r="C12" i="7"/>
  <c r="C14" i="7"/>
  <c r="D9" i="7"/>
  <c r="E9" i="7"/>
  <c r="E12" i="7"/>
  <c r="E14" i="7"/>
  <c r="F9" i="7"/>
  <c r="G9" i="7"/>
  <c r="G12" i="7"/>
  <c r="G14" i="7"/>
  <c r="H9" i="7"/>
  <c r="H12" i="7"/>
  <c r="H14" i="7"/>
  <c r="I9" i="7"/>
  <c r="I12" i="7"/>
  <c r="I14" i="7"/>
  <c r="J9" i="7"/>
  <c r="J12" i="7"/>
  <c r="J14" i="7"/>
  <c r="K9" i="7"/>
  <c r="K12" i="7"/>
  <c r="K14" i="7"/>
  <c r="L9" i="7"/>
  <c r="L12" i="7"/>
  <c r="L14" i="7"/>
  <c r="M9" i="7"/>
  <c r="N9" i="7"/>
  <c r="N12" i="7"/>
  <c r="N14" i="7"/>
  <c r="O9" i="7"/>
  <c r="O12" i="7"/>
  <c r="O14" i="7"/>
  <c r="P9" i="7"/>
  <c r="P12" i="7"/>
  <c r="P14" i="7"/>
  <c r="Q9" i="7"/>
  <c r="Q12" i="7"/>
  <c r="Q14" i="7"/>
  <c r="R9" i="7"/>
  <c r="R12" i="7"/>
  <c r="R14" i="7"/>
  <c r="S9" i="7"/>
  <c r="T9" i="7"/>
  <c r="T12" i="7"/>
  <c r="T14" i="7"/>
  <c r="U9" i="7"/>
  <c r="U12" i="7"/>
  <c r="V9" i="7"/>
  <c r="V12" i="7"/>
  <c r="V14" i="7"/>
  <c r="W9" i="7"/>
  <c r="X9" i="7"/>
  <c r="X12" i="7"/>
  <c r="X14" i="7"/>
  <c r="Y9" i="7"/>
  <c r="Y12" i="7"/>
  <c r="Y14" i="7"/>
  <c r="Z9" i="7"/>
  <c r="Z12" i="7"/>
  <c r="Z14" i="7"/>
  <c r="AA9" i="7"/>
  <c r="AA12" i="7"/>
  <c r="AA14" i="7"/>
  <c r="AB9" i="7"/>
  <c r="AB12" i="7"/>
  <c r="AB14" i="7"/>
  <c r="AC9" i="7"/>
  <c r="AD9" i="7"/>
  <c r="AD12" i="7"/>
  <c r="AD14" i="7"/>
  <c r="AE9" i="7"/>
  <c r="AF9" i="7"/>
  <c r="AF12" i="7"/>
  <c r="AG9" i="7"/>
  <c r="AG12" i="7"/>
  <c r="AG14" i="7"/>
  <c r="AH9" i="7"/>
  <c r="AH12" i="7"/>
  <c r="AH14" i="7"/>
  <c r="AJ9" i="7"/>
  <c r="AJ12" i="7"/>
  <c r="AJ14" i="7"/>
  <c r="AK9" i="7"/>
  <c r="AK12" i="7"/>
  <c r="AK14" i="7"/>
  <c r="AL9" i="7"/>
  <c r="AN9" i="7"/>
  <c r="AO9" i="7"/>
  <c r="AP9" i="7"/>
  <c r="AP12" i="7"/>
  <c r="AP14" i="7"/>
  <c r="AQ9" i="7"/>
  <c r="AR9" i="7"/>
  <c r="AR12" i="7"/>
  <c r="AR14" i="7"/>
  <c r="AS9" i="7"/>
  <c r="AT9" i="7"/>
  <c r="AU9" i="7"/>
  <c r="AU12" i="7"/>
  <c r="AX9" i="7"/>
  <c r="AX12" i="7"/>
  <c r="AY9" i="7"/>
  <c r="AY12" i="7"/>
  <c r="AV10" i="7"/>
  <c r="AZ10" i="7"/>
  <c r="AW10" i="7"/>
  <c r="BA10" i="7"/>
  <c r="AV11" i="7"/>
  <c r="AZ11" i="7"/>
  <c r="AW11" i="7"/>
  <c r="BA11" i="7"/>
  <c r="S12" i="7"/>
  <c r="S14" i="7"/>
  <c r="U14" i="7"/>
  <c r="W12" i="7"/>
  <c r="W14" i="7"/>
  <c r="AC12" i="7"/>
  <c r="AI12" i="7"/>
  <c r="AI14" i="7"/>
  <c r="AN12" i="7"/>
  <c r="AN14" i="7"/>
  <c r="AO12" i="7"/>
  <c r="AO14" i="7"/>
  <c r="AQ12" i="7"/>
  <c r="AQ14" i="7"/>
  <c r="AU14" i="7"/>
  <c r="M14" i="7"/>
  <c r="AC14" i="7"/>
  <c r="AL14" i="7"/>
  <c r="AM14" i="7"/>
  <c r="AS14" i="7"/>
  <c r="AT14" i="7"/>
  <c r="AV15" i="7"/>
  <c r="AZ15" i="7"/>
  <c r="AW15" i="7"/>
  <c r="BA15" i="7"/>
  <c r="AV16" i="7"/>
  <c r="AZ16" i="7"/>
  <c r="AW16" i="7"/>
  <c r="BA16" i="7"/>
  <c r="AV17" i="7"/>
  <c r="AZ17" i="7"/>
  <c r="AW17" i="7"/>
  <c r="BA17" i="7"/>
  <c r="AV18" i="7"/>
  <c r="AZ18" i="7"/>
  <c r="AW18" i="7"/>
  <c r="BA18" i="7"/>
  <c r="AV19" i="7"/>
  <c r="AZ19" i="7"/>
  <c r="AW19" i="7"/>
  <c r="BA19" i="7"/>
  <c r="AV20" i="7"/>
  <c r="AZ20" i="7"/>
  <c r="AW20" i="7"/>
  <c r="BA20" i="7"/>
  <c r="AV21" i="7"/>
  <c r="AZ21" i="7"/>
  <c r="AW21" i="7"/>
  <c r="BA21" i="7"/>
  <c r="AV22" i="7"/>
  <c r="AZ22" i="7"/>
  <c r="AW22" i="7"/>
  <c r="BA22" i="7"/>
  <c r="AV23" i="7"/>
  <c r="AZ23" i="7"/>
  <c r="AW23" i="7"/>
  <c r="BA23" i="7"/>
  <c r="AV24" i="7"/>
  <c r="AZ24" i="7"/>
  <c r="AW24" i="7"/>
  <c r="BA24" i="7"/>
  <c r="AV25" i="7"/>
  <c r="AZ25" i="7"/>
  <c r="AW25" i="7"/>
  <c r="BA25" i="7"/>
  <c r="AV27" i="7"/>
  <c r="AZ27" i="7"/>
  <c r="BA27" i="7"/>
  <c r="B28" i="7"/>
  <c r="C28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AF28" i="7"/>
  <c r="AG28" i="7"/>
  <c r="AH28" i="7"/>
  <c r="AI28" i="7"/>
  <c r="AJ28" i="7"/>
  <c r="AK28" i="7"/>
  <c r="AW28" i="7"/>
  <c r="BA28" i="7"/>
  <c r="AL28" i="7"/>
  <c r="AM28" i="7"/>
  <c r="AN28" i="7"/>
  <c r="AO28" i="7"/>
  <c r="AP28" i="7"/>
  <c r="AQ28" i="7"/>
  <c r="AR28" i="7"/>
  <c r="AS28" i="7"/>
  <c r="AT28" i="7"/>
  <c r="AU28" i="7"/>
  <c r="AX28" i="7"/>
  <c r="AY28" i="7"/>
  <c r="AV7" i="5"/>
  <c r="AZ7" i="5"/>
  <c r="AW7" i="5"/>
  <c r="BA7" i="5"/>
  <c r="AV8" i="5"/>
  <c r="AZ8" i="5"/>
  <c r="AW8" i="5"/>
  <c r="BA8" i="5"/>
  <c r="AV9" i="5"/>
  <c r="AZ9" i="5"/>
  <c r="AW9" i="5"/>
  <c r="BA9" i="5"/>
  <c r="B10" i="5"/>
  <c r="C10" i="5"/>
  <c r="D10" i="5"/>
  <c r="D12" i="5"/>
  <c r="E10" i="5"/>
  <c r="E12" i="5"/>
  <c r="F10" i="5"/>
  <c r="G10" i="5"/>
  <c r="H10" i="5"/>
  <c r="H14" i="5"/>
  <c r="I10" i="5"/>
  <c r="J10" i="5"/>
  <c r="K10" i="5"/>
  <c r="K12" i="5"/>
  <c r="L10" i="5"/>
  <c r="L12" i="5"/>
  <c r="M10" i="5"/>
  <c r="M12" i="5"/>
  <c r="N10" i="5"/>
  <c r="O10" i="5"/>
  <c r="O12" i="5"/>
  <c r="P10" i="5"/>
  <c r="Q10" i="5"/>
  <c r="Q12" i="5"/>
  <c r="Q14" i="5"/>
  <c r="R10" i="5"/>
  <c r="R12" i="5"/>
  <c r="S10" i="5"/>
  <c r="T10" i="5"/>
  <c r="U10" i="5"/>
  <c r="U14" i="5"/>
  <c r="V10" i="5"/>
  <c r="W10" i="5"/>
  <c r="X10" i="5"/>
  <c r="X14" i="5"/>
  <c r="Y10" i="5"/>
  <c r="Z10" i="5"/>
  <c r="Z14" i="5"/>
  <c r="AA10" i="5"/>
  <c r="AB10" i="5"/>
  <c r="AC10" i="5"/>
  <c r="AC12" i="5"/>
  <c r="AD10" i="5"/>
  <c r="AE10" i="5"/>
  <c r="AW10" i="5"/>
  <c r="BA10" i="5"/>
  <c r="AF10" i="5"/>
  <c r="AF12" i="5"/>
  <c r="AG10" i="5"/>
  <c r="AG14" i="5"/>
  <c r="AH10" i="5"/>
  <c r="AI10" i="5"/>
  <c r="AI12" i="5"/>
  <c r="AJ10" i="5"/>
  <c r="AK10" i="5"/>
  <c r="AK12" i="5"/>
  <c r="AK14" i="5"/>
  <c r="AL10" i="5"/>
  <c r="AM10" i="5"/>
  <c r="AN10" i="5"/>
  <c r="AO10" i="5"/>
  <c r="AO14" i="5"/>
  <c r="AP10" i="5"/>
  <c r="AP14" i="5"/>
  <c r="AQ10" i="5"/>
  <c r="AR10" i="5"/>
  <c r="AR12" i="5"/>
  <c r="AS10" i="5"/>
  <c r="AS12" i="5"/>
  <c r="AT10" i="5"/>
  <c r="AU10" i="5"/>
  <c r="AU14" i="5"/>
  <c r="AX10" i="5"/>
  <c r="AX12" i="5"/>
  <c r="AY10" i="5"/>
  <c r="AY14" i="5"/>
  <c r="B12" i="5"/>
  <c r="C12" i="5"/>
  <c r="F12" i="5"/>
  <c r="H12" i="5"/>
  <c r="J12" i="5"/>
  <c r="N12" i="5"/>
  <c r="S12" i="5"/>
  <c r="T12" i="5"/>
  <c r="V12" i="5"/>
  <c r="W12" i="5"/>
  <c r="AB12" i="5"/>
  <c r="AD12" i="5"/>
  <c r="AH12" i="5"/>
  <c r="AL12" i="5"/>
  <c r="AM12" i="5"/>
  <c r="AN12" i="5"/>
  <c r="AT12" i="5"/>
  <c r="AY12" i="5"/>
  <c r="B14" i="5"/>
  <c r="C14" i="5"/>
  <c r="F14" i="5"/>
  <c r="J14" i="5"/>
  <c r="L14" i="5"/>
  <c r="M14" i="5"/>
  <c r="N14" i="5"/>
  <c r="S14" i="5"/>
  <c r="T14" i="5"/>
  <c r="V14" i="5"/>
  <c r="W14" i="5"/>
  <c r="AB14" i="5"/>
  <c r="AC14" i="5"/>
  <c r="AD14" i="5"/>
  <c r="AF14" i="5"/>
  <c r="AH14" i="5"/>
  <c r="AL14" i="5"/>
  <c r="AM14" i="5"/>
  <c r="AN14" i="5"/>
  <c r="AT14" i="5"/>
  <c r="AX14" i="5"/>
  <c r="AE5" i="27"/>
  <c r="AV6" i="27"/>
  <c r="AZ6" i="27"/>
  <c r="AW6" i="27"/>
  <c r="BA6" i="27"/>
  <c r="AV7" i="27"/>
  <c r="AZ7" i="27"/>
  <c r="AW7" i="27"/>
  <c r="BA7" i="27"/>
  <c r="AV8" i="27"/>
  <c r="AZ8" i="27" s="1"/>
  <c r="AW8" i="27"/>
  <c r="BA8" i="27"/>
  <c r="B10" i="27"/>
  <c r="C10" i="27"/>
  <c r="D10" i="27"/>
  <c r="E10" i="27"/>
  <c r="F10" i="27"/>
  <c r="AV10" i="27" s="1"/>
  <c r="AZ10" i="27" s="1"/>
  <c r="G10" i="27"/>
  <c r="I10" i="27"/>
  <c r="J10" i="27"/>
  <c r="K10" i="27"/>
  <c r="AW10" i="27"/>
  <c r="BA10" i="27"/>
  <c r="L10" i="27"/>
  <c r="M10" i="27"/>
  <c r="N10" i="27"/>
  <c r="O10" i="27"/>
  <c r="P10" i="27"/>
  <c r="Q10" i="27"/>
  <c r="R10" i="27"/>
  <c r="S10" i="27"/>
  <c r="T10" i="27"/>
  <c r="U10" i="27"/>
  <c r="V10" i="27"/>
  <c r="W10" i="27"/>
  <c r="Y10" i="27"/>
  <c r="Z10" i="27"/>
  <c r="AA10" i="27"/>
  <c r="AB10" i="27"/>
  <c r="AC10" i="27"/>
  <c r="AD10" i="27"/>
  <c r="AF10" i="27"/>
  <c r="AG10" i="27"/>
  <c r="AH10" i="27"/>
  <c r="AJ10" i="27"/>
  <c r="AK10" i="27"/>
  <c r="AL10" i="27"/>
  <c r="AM10" i="27"/>
  <c r="AN10" i="27"/>
  <c r="AO10" i="27"/>
  <c r="AP10" i="27"/>
  <c r="AQ10" i="27"/>
  <c r="AR10" i="27"/>
  <c r="AS10" i="27"/>
  <c r="AU10" i="27"/>
  <c r="AX10" i="27"/>
  <c r="AY10" i="27"/>
  <c r="AV11" i="27"/>
  <c r="AZ11" i="27"/>
  <c r="AW11" i="27"/>
  <c r="BA11" i="27"/>
  <c r="AV12" i="27"/>
  <c r="AZ12" i="27"/>
  <c r="AW12" i="27"/>
  <c r="BA12" i="27"/>
  <c r="AV13" i="27"/>
  <c r="AZ13" i="27" s="1"/>
  <c r="AW13" i="27"/>
  <c r="BA13" i="27"/>
  <c r="AV14" i="27"/>
  <c r="AZ14" i="27"/>
  <c r="AW14" i="27"/>
  <c r="BA14" i="27"/>
  <c r="AV15" i="27"/>
  <c r="AZ15" i="27"/>
  <c r="AW15" i="27"/>
  <c r="BA15" i="27"/>
  <c r="AV16" i="27"/>
  <c r="AZ16" i="27" s="1"/>
  <c r="AW16" i="27"/>
  <c r="BA16" i="27"/>
  <c r="AV17" i="27"/>
  <c r="AZ17" i="27"/>
  <c r="AW17" i="27"/>
  <c r="BA17" i="27"/>
  <c r="AV18" i="27"/>
  <c r="AZ18" i="27" s="1"/>
  <c r="AW18" i="27"/>
  <c r="BA18" i="27"/>
  <c r="AV19" i="27"/>
  <c r="AZ19" i="27" s="1"/>
  <c r="AW19" i="27"/>
  <c r="BA19" i="27"/>
  <c r="AV20" i="27"/>
  <c r="AZ20" i="27"/>
  <c r="AW20" i="27"/>
  <c r="BA20" i="27"/>
  <c r="AV21" i="27"/>
  <c r="AZ21" i="27"/>
  <c r="AW21" i="27"/>
  <c r="BA21" i="27"/>
  <c r="AV22" i="27"/>
  <c r="AZ22" i="27"/>
  <c r="AW22" i="27"/>
  <c r="BA22" i="27"/>
  <c r="AV24" i="27"/>
  <c r="AZ24" i="27"/>
  <c r="AW24" i="27"/>
  <c r="BA24" i="27"/>
  <c r="AV25" i="27"/>
  <c r="AZ25" i="27"/>
  <c r="AW25" i="27"/>
  <c r="BA25" i="27"/>
  <c r="AV28" i="27"/>
  <c r="AZ28" i="27"/>
  <c r="AW28" i="27"/>
  <c r="BA28" i="27"/>
  <c r="AV29" i="27"/>
  <c r="AZ29" i="27"/>
  <c r="AW29" i="27"/>
  <c r="BA29" i="27"/>
  <c r="AV30" i="27"/>
  <c r="AZ30" i="27"/>
  <c r="AW30" i="27"/>
  <c r="BA30" i="27"/>
  <c r="AW31" i="27"/>
  <c r="BA31" i="27"/>
  <c r="AV32" i="27"/>
  <c r="AZ32" i="27"/>
  <c r="AW32" i="27"/>
  <c r="BA32" i="27"/>
  <c r="AV33" i="27"/>
  <c r="AZ33" i="27"/>
  <c r="AW33" i="27"/>
  <c r="BA33" i="27"/>
  <c r="AV34" i="27"/>
  <c r="AZ34" i="27"/>
  <c r="AW34" i="27"/>
  <c r="BA34" i="27"/>
  <c r="AV35" i="27"/>
  <c r="AZ35" i="27" s="1"/>
  <c r="AW35" i="27"/>
  <c r="BA35" i="27"/>
  <c r="AV36" i="27"/>
  <c r="AZ36" i="27"/>
  <c r="AW36" i="27"/>
  <c r="BA36" i="27"/>
  <c r="AV37" i="27"/>
  <c r="AZ37" i="27"/>
  <c r="AW37" i="27"/>
  <c r="BA37" i="27"/>
  <c r="AV38" i="27"/>
  <c r="AZ38" i="27" s="1"/>
  <c r="AW38" i="27"/>
  <c r="BA38" i="27"/>
  <c r="AV39" i="27"/>
  <c r="AZ39" i="27" s="1"/>
  <c r="AW39" i="27"/>
  <c r="BA39" i="27"/>
  <c r="AV40" i="27"/>
  <c r="AZ40" i="27" s="1"/>
  <c r="AW40" i="27"/>
  <c r="BA40" i="27"/>
  <c r="AV41" i="27"/>
  <c r="AZ41" i="27"/>
  <c r="AW41" i="27"/>
  <c r="BA41" i="27"/>
  <c r="AV42" i="27"/>
  <c r="AZ42" i="27" s="1"/>
  <c r="AW42" i="27"/>
  <c r="BA42" i="27"/>
  <c r="AV43" i="27"/>
  <c r="AZ43" i="27"/>
  <c r="AW43" i="27"/>
  <c r="BA43" i="27"/>
  <c r="AV44" i="27"/>
  <c r="AZ44" i="27"/>
  <c r="AW44" i="27"/>
  <c r="BA44" i="27"/>
  <c r="AV45" i="27"/>
  <c r="AZ45" i="27" s="1"/>
  <c r="AW45" i="27"/>
  <c r="BA45" i="27"/>
  <c r="AV46" i="27"/>
  <c r="AZ46" i="27" s="1"/>
  <c r="AW46" i="27"/>
  <c r="BA46" i="27"/>
  <c r="B47" i="27"/>
  <c r="C47" i="27"/>
  <c r="D47" i="27"/>
  <c r="D51" i="27"/>
  <c r="E47" i="27"/>
  <c r="F47" i="27"/>
  <c r="G47" i="27"/>
  <c r="H47" i="27"/>
  <c r="I47" i="27"/>
  <c r="J47" i="27"/>
  <c r="J51" i="27"/>
  <c r="K47" i="27"/>
  <c r="L47" i="27"/>
  <c r="M47" i="27"/>
  <c r="M51" i="27"/>
  <c r="N47" i="27"/>
  <c r="O47" i="27"/>
  <c r="P47" i="27"/>
  <c r="Q47" i="27"/>
  <c r="Q51" i="27"/>
  <c r="R47" i="27"/>
  <c r="S47" i="27"/>
  <c r="T47" i="27"/>
  <c r="T51" i="27"/>
  <c r="U47" i="27"/>
  <c r="V47" i="27"/>
  <c r="X47" i="27"/>
  <c r="X51" i="27"/>
  <c r="Z47" i="27"/>
  <c r="AA47" i="27"/>
  <c r="AB47" i="27"/>
  <c r="AC47" i="27"/>
  <c r="AD47" i="27"/>
  <c r="AD51" i="27"/>
  <c r="AE47" i="27"/>
  <c r="AE51" i="27"/>
  <c r="AZ47" i="27"/>
  <c r="BA47" i="27"/>
  <c r="AV48" i="27"/>
  <c r="AZ48" i="27" s="1"/>
  <c r="AW48" i="27"/>
  <c r="BA48" i="27"/>
  <c r="AV49" i="27"/>
  <c r="AZ49" i="27" s="1"/>
  <c r="AW49" i="27"/>
  <c r="BA49" i="27"/>
  <c r="B50" i="27"/>
  <c r="C50" i="27"/>
  <c r="E50" i="27"/>
  <c r="F50" i="27"/>
  <c r="G50" i="27"/>
  <c r="G51" i="27"/>
  <c r="H50" i="27"/>
  <c r="H51" i="27"/>
  <c r="I50" i="27"/>
  <c r="J50" i="27"/>
  <c r="K50" i="27"/>
  <c r="L50" i="27"/>
  <c r="M50" i="27"/>
  <c r="N50" i="27"/>
  <c r="N51" i="27"/>
  <c r="O50" i="27"/>
  <c r="AW50" i="27"/>
  <c r="BA50" i="27"/>
  <c r="P50" i="27"/>
  <c r="Q50" i="27"/>
  <c r="R50" i="27"/>
  <c r="S50" i="27"/>
  <c r="S51" i="27"/>
  <c r="T50" i="27"/>
  <c r="U50" i="27"/>
  <c r="U51" i="27"/>
  <c r="V50" i="27"/>
  <c r="V51" i="27"/>
  <c r="X50" i="27"/>
  <c r="Y50" i="27"/>
  <c r="Y51" i="27"/>
  <c r="Z50" i="27"/>
  <c r="AA50" i="27"/>
  <c r="AB50" i="27"/>
  <c r="AC50" i="27"/>
  <c r="AC51" i="27"/>
  <c r="AD50" i="27"/>
  <c r="AE50" i="27"/>
  <c r="AN50" i="27"/>
  <c r="AN51" i="27"/>
  <c r="AP50" i="27"/>
  <c r="AP51" i="27"/>
  <c r="AR50" i="27"/>
  <c r="AR51" i="27"/>
  <c r="AS50" i="27"/>
  <c r="AS51" i="27"/>
  <c r="AT50" i="27"/>
  <c r="AT51" i="27"/>
  <c r="AU50" i="27"/>
  <c r="AU51" i="27"/>
  <c r="AY50" i="27"/>
  <c r="AY51" i="27"/>
  <c r="AL51" i="27"/>
  <c r="AM51" i="27"/>
  <c r="AO51" i="27"/>
  <c r="AQ51" i="27"/>
  <c r="AV52" i="27"/>
  <c r="AZ52" i="27"/>
  <c r="AW52" i="27"/>
  <c r="BA52" i="27"/>
  <c r="AV53" i="27"/>
  <c r="AZ53" i="27"/>
  <c r="AW53" i="27"/>
  <c r="BA53" i="27"/>
  <c r="AV54" i="27"/>
  <c r="AZ54" i="27" s="1"/>
  <c r="AW54" i="27"/>
  <c r="BA54" i="27"/>
  <c r="AV55" i="27"/>
  <c r="AZ55" i="27"/>
  <c r="AW55" i="27"/>
  <c r="BA55" i="27"/>
  <c r="AV56" i="27"/>
  <c r="AZ56" i="27" s="1"/>
  <c r="AW56" i="27"/>
  <c r="BA56" i="27"/>
  <c r="AV57" i="27"/>
  <c r="AZ57" i="27"/>
  <c r="AW57" i="27"/>
  <c r="BA57" i="27"/>
  <c r="AV58" i="27"/>
  <c r="AZ58" i="27"/>
  <c r="AW58" i="27"/>
  <c r="BA58" i="27"/>
  <c r="AV59" i="27"/>
  <c r="AZ59" i="27"/>
  <c r="AW59" i="27"/>
  <c r="BA59" i="27"/>
  <c r="AW60" i="27"/>
  <c r="BA60" i="27"/>
  <c r="AV61" i="27"/>
  <c r="AZ61" i="27"/>
  <c r="AW61" i="27"/>
  <c r="BA61" i="27"/>
  <c r="AV62" i="27"/>
  <c r="AZ62" i="27"/>
  <c r="AW62" i="27"/>
  <c r="BA62" i="27"/>
  <c r="AV63" i="27"/>
  <c r="AZ63" i="27"/>
  <c r="AW63" i="27"/>
  <c r="BA63" i="27"/>
  <c r="AV64" i="27"/>
  <c r="AZ64" i="27"/>
  <c r="AW64" i="27"/>
  <c r="BA64" i="27"/>
  <c r="AV65" i="27"/>
  <c r="AZ65" i="27" s="1"/>
  <c r="AW65" i="27"/>
  <c r="BA65" i="27"/>
  <c r="AV67" i="27"/>
  <c r="AZ67" i="27"/>
  <c r="AW67" i="27"/>
  <c r="BA67" i="27"/>
  <c r="AV5" i="11"/>
  <c r="AZ5" i="11"/>
  <c r="AW5" i="11"/>
  <c r="BA5" i="11"/>
  <c r="AV6" i="11"/>
  <c r="AZ6" i="11"/>
  <c r="AW6" i="11"/>
  <c r="BA6" i="11"/>
  <c r="AV7" i="11"/>
  <c r="AZ7" i="11"/>
  <c r="AW7" i="11"/>
  <c r="BA7" i="11"/>
  <c r="AV8" i="11"/>
  <c r="AZ8" i="11"/>
  <c r="AW8" i="11"/>
  <c r="BA8" i="11"/>
  <c r="AV9" i="11"/>
  <c r="AZ9" i="11"/>
  <c r="AW9" i="11"/>
  <c r="BA9" i="11"/>
  <c r="AV10" i="11"/>
  <c r="AZ10" i="11"/>
  <c r="AW10" i="11"/>
  <c r="BA10" i="11"/>
  <c r="AA12" i="11"/>
  <c r="AV12" i="11"/>
  <c r="AZ12" i="11"/>
  <c r="B13" i="11"/>
  <c r="C13" i="11"/>
  <c r="D13" i="11"/>
  <c r="E13" i="11"/>
  <c r="F13" i="11"/>
  <c r="G13" i="11"/>
  <c r="H13" i="11"/>
  <c r="AV13" i="11"/>
  <c r="AZ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Y13" i="11"/>
  <c r="Z13" i="11"/>
  <c r="AB13" i="11"/>
  <c r="AC13" i="11"/>
  <c r="AD13" i="11"/>
  <c r="AE13" i="11"/>
  <c r="AF13" i="11"/>
  <c r="AG13" i="11"/>
  <c r="AH13" i="11"/>
  <c r="AI13" i="11"/>
  <c r="AJ13" i="11"/>
  <c r="AK13" i="11"/>
  <c r="AL13" i="11"/>
  <c r="AM13" i="11"/>
  <c r="AN13" i="11"/>
  <c r="AO13" i="11"/>
  <c r="AP13" i="11"/>
  <c r="AQ13" i="11"/>
  <c r="AR13" i="11"/>
  <c r="AS13" i="11"/>
  <c r="AT13" i="11"/>
  <c r="AU13" i="11"/>
  <c r="AX13" i="11"/>
  <c r="AY13" i="11"/>
  <c r="B14" i="11"/>
  <c r="B27" i="11"/>
  <c r="H14" i="11"/>
  <c r="H27" i="11"/>
  <c r="J14" i="11"/>
  <c r="L14" i="11"/>
  <c r="L27" i="11"/>
  <c r="V14" i="11"/>
  <c r="V27" i="11"/>
  <c r="AD14" i="11"/>
  <c r="AW14" i="11"/>
  <c r="BA14" i="11"/>
  <c r="AV15" i="11"/>
  <c r="AZ15" i="11"/>
  <c r="AW15" i="11"/>
  <c r="BA15" i="11"/>
  <c r="AV16" i="11"/>
  <c r="AZ16" i="11"/>
  <c r="AW16" i="11"/>
  <c r="BA16" i="11"/>
  <c r="AV17" i="11"/>
  <c r="AZ17" i="11"/>
  <c r="AW17" i="11"/>
  <c r="BA17" i="11"/>
  <c r="AV18" i="11"/>
  <c r="AZ18" i="11"/>
  <c r="AW18" i="11"/>
  <c r="BA18" i="11"/>
  <c r="AG19" i="11"/>
  <c r="AW19" i="11"/>
  <c r="BA19" i="11"/>
  <c r="AV19" i="11"/>
  <c r="AZ19" i="11"/>
  <c r="AV20" i="11"/>
  <c r="AZ20" i="11"/>
  <c r="AW20" i="11"/>
  <c r="BA20" i="11"/>
  <c r="AV21" i="11"/>
  <c r="AZ21" i="11"/>
  <c r="AW21" i="11"/>
  <c r="BA21" i="11"/>
  <c r="L22" i="11"/>
  <c r="AV22" i="11"/>
  <c r="AZ22" i="11"/>
  <c r="M22" i="11"/>
  <c r="M27" i="11"/>
  <c r="AS22" i="11"/>
  <c r="AS27" i="11"/>
  <c r="AV23" i="11"/>
  <c r="AZ23" i="11"/>
  <c r="AW23" i="11"/>
  <c r="BA23" i="11"/>
  <c r="AV24" i="11"/>
  <c r="AZ24" i="11"/>
  <c r="AW24" i="11"/>
  <c r="BA24" i="11"/>
  <c r="AV25" i="11"/>
  <c r="AZ25" i="11"/>
  <c r="AW25" i="11"/>
  <c r="BA25" i="11"/>
  <c r="C27" i="11"/>
  <c r="D27" i="11"/>
  <c r="E27" i="11"/>
  <c r="F27" i="11"/>
  <c r="G27" i="11"/>
  <c r="I27" i="11"/>
  <c r="J27" i="11"/>
  <c r="K27" i="11"/>
  <c r="N27" i="11"/>
  <c r="O27" i="11"/>
  <c r="P27" i="11"/>
  <c r="Q27" i="11"/>
  <c r="R27" i="11"/>
  <c r="S27" i="11"/>
  <c r="T27" i="11"/>
  <c r="U27" i="11"/>
  <c r="W27" i="11"/>
  <c r="Y27" i="11"/>
  <c r="Z27" i="11"/>
  <c r="AA27" i="11"/>
  <c r="AB27" i="11"/>
  <c r="AC27" i="11"/>
  <c r="AD27" i="11"/>
  <c r="AE27" i="11"/>
  <c r="AF27" i="11"/>
  <c r="AI27" i="11"/>
  <c r="AK27" i="11"/>
  <c r="AL27" i="11"/>
  <c r="AM27" i="11"/>
  <c r="AN27" i="11"/>
  <c r="AO27" i="11"/>
  <c r="AP27" i="11"/>
  <c r="AQ27" i="11"/>
  <c r="AX27" i="11"/>
  <c r="AY27" i="11"/>
  <c r="AV28" i="11"/>
  <c r="AZ28" i="11"/>
  <c r="AW28" i="11"/>
  <c r="BA28" i="11"/>
  <c r="AV29" i="11"/>
  <c r="AZ29" i="11"/>
  <c r="AW29" i="11"/>
  <c r="BA29" i="11"/>
  <c r="AV31" i="11"/>
  <c r="AZ31" i="11"/>
  <c r="AW31" i="11"/>
  <c r="BA31" i="11"/>
  <c r="AV32" i="11"/>
  <c r="AZ32" i="11"/>
  <c r="AW32" i="11"/>
  <c r="BA32" i="11"/>
  <c r="G33" i="11"/>
  <c r="AW33" i="11"/>
  <c r="BA33" i="11"/>
  <c r="J33" i="11"/>
  <c r="AV33" i="11"/>
  <c r="AZ33" i="11"/>
  <c r="AZ41" i="11"/>
  <c r="T33" i="11"/>
  <c r="U33" i="11"/>
  <c r="U41" i="11"/>
  <c r="AV34" i="11"/>
  <c r="AZ34" i="11"/>
  <c r="AW34" i="11"/>
  <c r="BA34" i="11"/>
  <c r="AV35" i="11"/>
  <c r="AZ35" i="11"/>
  <c r="AW35" i="11"/>
  <c r="BA35" i="11"/>
  <c r="AV36" i="11"/>
  <c r="AZ36" i="11"/>
  <c r="AW36" i="11"/>
  <c r="BA36" i="11"/>
  <c r="AV37" i="11"/>
  <c r="AZ37" i="11"/>
  <c r="AW37" i="11"/>
  <c r="BA37" i="11"/>
  <c r="AV38" i="11"/>
  <c r="AZ38" i="11"/>
  <c r="AW38" i="11"/>
  <c r="BA38" i="11"/>
  <c r="AV39" i="11"/>
  <c r="AZ39" i="11"/>
  <c r="AW39" i="11"/>
  <c r="BA39" i="11"/>
  <c r="B41" i="11"/>
  <c r="C41" i="11"/>
  <c r="D41" i="11"/>
  <c r="AV41" i="11"/>
  <c r="F41" i="11"/>
  <c r="K41" i="11"/>
  <c r="L41" i="11"/>
  <c r="M41" i="11"/>
  <c r="N41" i="11"/>
  <c r="P41" i="11"/>
  <c r="Q41" i="11"/>
  <c r="R41" i="11"/>
  <c r="S41" i="11"/>
  <c r="V41" i="11"/>
  <c r="W41" i="11"/>
  <c r="Z41" i="11"/>
  <c r="AA41" i="11"/>
  <c r="AC41" i="11"/>
  <c r="AD41" i="11"/>
  <c r="AE41" i="11"/>
  <c r="AF41" i="11"/>
  <c r="AJ41" i="11"/>
  <c r="AK41" i="11"/>
  <c r="AL41" i="11"/>
  <c r="AM41" i="11"/>
  <c r="AN41" i="11"/>
  <c r="AO41" i="11"/>
  <c r="AY41" i="11"/>
  <c r="C8" i="19"/>
  <c r="D8" i="19"/>
  <c r="G8" i="19"/>
  <c r="H8" i="19"/>
  <c r="I8" i="19"/>
  <c r="J8" i="19"/>
  <c r="K8" i="19"/>
  <c r="L8" i="19"/>
  <c r="M8" i="19"/>
  <c r="N8" i="19"/>
  <c r="O8" i="19"/>
  <c r="P8" i="19"/>
  <c r="Q8" i="19"/>
  <c r="R8" i="19"/>
  <c r="S8" i="19"/>
  <c r="T8" i="19"/>
  <c r="U8" i="19"/>
  <c r="V8" i="19"/>
  <c r="W8" i="19"/>
  <c r="X8" i="19"/>
  <c r="Y8" i="19"/>
  <c r="Z8" i="19"/>
  <c r="AA8" i="19"/>
  <c r="AB8" i="19"/>
  <c r="AC8" i="19"/>
  <c r="AD8" i="19"/>
  <c r="AE8" i="19"/>
  <c r="AF8" i="19"/>
  <c r="AG8" i="19"/>
  <c r="AH8" i="19"/>
  <c r="AJ8" i="19"/>
  <c r="AK8" i="19"/>
  <c r="AL8" i="19"/>
  <c r="AM8" i="19"/>
  <c r="AN8" i="19"/>
  <c r="AO8" i="19"/>
  <c r="AP8" i="19"/>
  <c r="AQ8" i="19"/>
  <c r="AR8" i="19"/>
  <c r="AS8" i="19"/>
  <c r="AT8" i="19"/>
  <c r="AU8" i="19"/>
  <c r="AV8" i="19"/>
  <c r="AW8" i="19"/>
  <c r="AX8" i="19"/>
  <c r="H19" i="19"/>
  <c r="L19" i="19"/>
  <c r="V19" i="19"/>
  <c r="Z19" i="19"/>
  <c r="AE19" i="19"/>
  <c r="AF19" i="19"/>
  <c r="AJ19" i="19"/>
  <c r="AV19" i="19"/>
  <c r="AX19" i="19"/>
  <c r="D26" i="19"/>
  <c r="AX31" i="19"/>
  <c r="W35" i="19"/>
  <c r="X35" i="19"/>
  <c r="V37" i="19"/>
  <c r="AJ37" i="19"/>
  <c r="AL37" i="19"/>
  <c r="AV37" i="19"/>
  <c r="D40" i="19"/>
  <c r="C56" i="19"/>
  <c r="D56" i="19"/>
  <c r="F56" i="19"/>
  <c r="H56" i="19"/>
  <c r="L56" i="19"/>
  <c r="N56" i="19"/>
  <c r="P56" i="19"/>
  <c r="R56" i="19"/>
  <c r="T56" i="19"/>
  <c r="V56" i="19"/>
  <c r="AD56" i="19"/>
  <c r="AE56" i="19"/>
  <c r="AF56" i="19"/>
  <c r="AH56" i="19"/>
  <c r="AI56" i="19"/>
  <c r="AJ56" i="19"/>
  <c r="AK56" i="19"/>
  <c r="AL56" i="19"/>
  <c r="AM56" i="19"/>
  <c r="AN56" i="19"/>
  <c r="AO56" i="19"/>
  <c r="AP56" i="19"/>
  <c r="AQ56" i="19"/>
  <c r="AU56" i="19"/>
  <c r="AV56" i="19"/>
  <c r="AW56" i="19"/>
  <c r="AX56" i="19"/>
  <c r="C57" i="19"/>
  <c r="V57" i="19"/>
  <c r="W57" i="19"/>
  <c r="X57" i="19"/>
  <c r="AV60" i="19"/>
  <c r="AE14" i="22"/>
  <c r="AW14" i="22"/>
  <c r="BA14" i="22"/>
  <c r="AW12" i="11"/>
  <c r="BA12" i="11"/>
  <c r="AA13" i="11"/>
  <c r="G41" i="11"/>
  <c r="AW22" i="11"/>
  <c r="BA22" i="11"/>
  <c r="AE10" i="27"/>
  <c r="D12" i="7"/>
  <c r="D14" i="7"/>
  <c r="C36" i="6"/>
  <c r="BA27" i="6"/>
  <c r="I34" i="6"/>
  <c r="I36" i="6"/>
  <c r="B42" i="29"/>
  <c r="B14" i="7"/>
  <c r="AV11" i="2"/>
  <c r="AZ11" i="2"/>
  <c r="M22" i="29"/>
  <c r="M25" i="29"/>
  <c r="M32" i="29"/>
  <c r="E22" i="29"/>
  <c r="E25" i="29"/>
  <c r="C51" i="27"/>
  <c r="B51" i="27"/>
  <c r="E38" i="6"/>
  <c r="F38" i="6"/>
  <c r="F12" i="7"/>
  <c r="E14" i="1"/>
  <c r="AW12" i="2"/>
  <c r="BA12" i="2"/>
  <c r="F18" i="3"/>
  <c r="R14" i="5"/>
  <c r="I12" i="5"/>
  <c r="I14" i="5"/>
  <c r="AV12" i="1"/>
  <c r="AZ12" i="1"/>
  <c r="AE12" i="7"/>
  <c r="AE14" i="7"/>
  <c r="X12" i="5"/>
  <c r="O14" i="5"/>
  <c r="AP12" i="5"/>
  <c r="AW16" i="4"/>
  <c r="BA16" i="4"/>
  <c r="E51" i="27"/>
  <c r="D14" i="5"/>
  <c r="AV16" i="4"/>
  <c r="AZ16" i="4"/>
  <c r="Y14" i="5"/>
  <c r="Y12" i="5"/>
  <c r="E14" i="5"/>
  <c r="F14" i="7"/>
  <c r="K51" i="27"/>
  <c r="I51" i="27"/>
  <c r="I25" i="29"/>
  <c r="AW6" i="22"/>
  <c r="BA6" i="22"/>
  <c r="P51" i="27"/>
  <c r="L51" i="27"/>
  <c r="I32" i="29"/>
  <c r="I42" i="29"/>
  <c r="K25" i="29"/>
  <c r="K32" i="29"/>
  <c r="K42" i="29"/>
  <c r="AW5" i="27"/>
  <c r="BA5" i="27"/>
  <c r="Q22" i="29"/>
  <c r="Q25" i="29"/>
  <c r="Q32" i="29"/>
  <c r="Q42" i="29"/>
  <c r="AG14" i="22"/>
  <c r="AW5" i="22"/>
  <c r="BA5" i="22"/>
  <c r="AG38" i="8"/>
  <c r="AF38" i="8"/>
  <c r="J32" i="29"/>
  <c r="J42" i="29"/>
  <c r="S38" i="6"/>
  <c r="S38" i="8"/>
  <c r="R51" i="27"/>
  <c r="AA51" i="27"/>
  <c r="Z51" i="27"/>
  <c r="I38" i="6"/>
  <c r="AA12" i="5"/>
  <c r="AA14" i="5"/>
  <c r="AG27" i="11"/>
  <c r="AW9" i="7"/>
  <c r="P14" i="5"/>
  <c r="P12" i="5"/>
  <c r="AQ14" i="5"/>
  <c r="AQ12" i="5"/>
  <c r="AJ12" i="5"/>
  <c r="AJ14" i="5"/>
  <c r="G12" i="5"/>
  <c r="G14" i="5"/>
  <c r="Y13" i="29"/>
  <c r="AA13" i="29"/>
  <c r="AV10" i="5"/>
  <c r="AZ10" i="5"/>
  <c r="AU12" i="5"/>
  <c r="C18" i="3"/>
  <c r="AW18" i="3"/>
  <c r="BA18" i="3"/>
  <c r="S22" i="29"/>
  <c r="S25" i="29"/>
  <c r="S32" i="29"/>
  <c r="S42" i="29"/>
  <c r="AJ27" i="11"/>
  <c r="O25" i="29"/>
  <c r="AB51" i="27"/>
  <c r="O32" i="29"/>
  <c r="O42" i="29"/>
  <c r="Y19" i="29"/>
  <c r="AA19" i="29"/>
  <c r="AT38" i="8"/>
  <c r="AF14" i="7"/>
  <c r="AT10" i="27"/>
  <c r="AV66" i="27"/>
  <c r="AZ66" i="27"/>
  <c r="AW66" i="27"/>
  <c r="BA66" i="27"/>
  <c r="W22" i="29"/>
  <c r="W25" i="29"/>
  <c r="W32" i="29"/>
  <c r="W42" i="29"/>
  <c r="Y22" i="29"/>
  <c r="AA22" i="29"/>
  <c r="AW13" i="11"/>
  <c r="BA13" i="11"/>
  <c r="BA41" i="11"/>
  <c r="E32" i="29"/>
  <c r="Y25" i="29"/>
  <c r="AA25" i="29"/>
  <c r="AW27" i="11"/>
  <c r="BA27" i="11"/>
  <c r="AV12" i="7"/>
  <c r="AZ12" i="7"/>
  <c r="O51" i="27"/>
  <c r="AW51" i="27"/>
  <c r="BA51" i="27"/>
  <c r="AO12" i="5"/>
  <c r="D38" i="6"/>
  <c r="AI14" i="5"/>
  <c r="AW16" i="3"/>
  <c r="BA16" i="3"/>
  <c r="AV16" i="3"/>
  <c r="AZ16" i="3"/>
  <c r="AE12" i="5"/>
  <c r="C38" i="6"/>
  <c r="E41" i="11"/>
  <c r="AW41" i="11"/>
  <c r="AE14" i="5"/>
  <c r="AV18" i="3"/>
  <c r="AZ18" i="3"/>
  <c r="AV50" i="27"/>
  <c r="AZ50" i="27" s="1"/>
  <c r="AV27" i="11"/>
  <c r="AZ27" i="11"/>
  <c r="AS14" i="5"/>
  <c r="O14" i="1"/>
  <c r="AW14" i="1"/>
  <c r="BA9" i="7"/>
  <c r="AW12" i="7"/>
  <c r="BA12" i="7"/>
  <c r="AV14" i="11"/>
  <c r="AZ14" i="11"/>
  <c r="AR14" i="5"/>
  <c r="AV14" i="5"/>
  <c r="AZ14" i="5"/>
  <c r="Z12" i="5"/>
  <c r="AV12" i="5"/>
  <c r="AZ12" i="5"/>
  <c r="AG12" i="5"/>
  <c r="AV18" i="4"/>
  <c r="AZ18" i="4"/>
  <c r="K14" i="5"/>
  <c r="AW14" i="5"/>
  <c r="BA14" i="5"/>
  <c r="AV9" i="7"/>
  <c r="AZ9" i="7"/>
  <c r="U12" i="5"/>
  <c r="AW12" i="5"/>
  <c r="BA12" i="5"/>
  <c r="AV28" i="7"/>
  <c r="AZ28" i="7"/>
  <c r="AW18" i="4"/>
  <c r="BA18" i="4"/>
  <c r="BA10" i="6"/>
  <c r="AU34" i="6"/>
  <c r="AU36" i="6"/>
  <c r="AU38" i="6"/>
  <c r="AV14" i="1"/>
  <c r="AZ14" i="1"/>
  <c r="X38" i="29"/>
  <c r="Y38" i="29"/>
  <c r="BA38" i="6"/>
  <c r="BE38" i="6"/>
  <c r="Y32" i="29"/>
  <c r="AA32" i="29"/>
  <c r="E42" i="29"/>
  <c r="Y42" i="29"/>
  <c r="AA42" i="29"/>
  <c r="BA34" i="6"/>
  <c r="BA36" i="6"/>
  <c r="AZ6" i="6"/>
  <c r="AZ25" i="6"/>
  <c r="AZ28" i="6"/>
  <c r="AZ8" i="6"/>
  <c r="AZ7" i="6"/>
  <c r="AZ11" i="6"/>
  <c r="AZ37" i="6"/>
  <c r="AZ29" i="6"/>
  <c r="AZ33" i="6"/>
  <c r="AZ10" i="6"/>
  <c r="AZ14" i="6"/>
  <c r="AZ12" i="6"/>
  <c r="AZ9" i="6"/>
  <c r="AZ13" i="6"/>
  <c r="AZ23" i="6"/>
  <c r="AZ22" i="6"/>
  <c r="AZ15" i="6"/>
  <c r="AZ31" i="6"/>
  <c r="AZ17" i="6"/>
  <c r="AZ16" i="6"/>
  <c r="AZ30" i="6"/>
  <c r="AZ26" i="6"/>
  <c r="AZ35" i="6"/>
  <c r="AZ32" i="6"/>
  <c r="AZ18" i="6"/>
  <c r="AZ27" i="6"/>
  <c r="AZ36" i="6"/>
  <c r="AZ21" i="6"/>
  <c r="AZ20" i="6"/>
  <c r="AZ19" i="6"/>
  <c r="AZ24" i="6"/>
  <c r="F51" i="27" l="1"/>
  <c r="AV51" i="27" s="1"/>
  <c r="AZ51" i="27" s="1"/>
  <c r="BA12" i="1"/>
</calcChain>
</file>

<file path=xl/sharedStrings.xml><?xml version="1.0" encoding="utf-8"?>
<sst xmlns="http://schemas.openxmlformats.org/spreadsheetml/2006/main" count="1750" uniqueCount="408">
  <si>
    <t>Particulars</t>
  </si>
  <si>
    <t>Private Total</t>
  </si>
  <si>
    <t>Grand Total</t>
  </si>
  <si>
    <t>Individual agents</t>
  </si>
  <si>
    <t>Corporate Agents-Banks</t>
  </si>
  <si>
    <t>Corporate Agents -Others</t>
  </si>
  <si>
    <t>Brokers</t>
  </si>
  <si>
    <t>Micro Agents</t>
  </si>
  <si>
    <t>Direct Business</t>
  </si>
  <si>
    <t>Others (only)</t>
  </si>
  <si>
    <t>Total(A)</t>
  </si>
  <si>
    <t>Referral  (B)</t>
  </si>
  <si>
    <t>Grand Total (A+B)</t>
  </si>
  <si>
    <t>L37:BUSINESS ACQUISITION THROUGH DIFFERENT CHANNELS (GROUP) Lives</t>
  </si>
  <si>
    <t>Channels</t>
  </si>
  <si>
    <t>CSC</t>
  </si>
  <si>
    <t>POS</t>
  </si>
  <si>
    <t>IMF</t>
  </si>
  <si>
    <t>Online</t>
  </si>
  <si>
    <t>Web Aggregators</t>
  </si>
  <si>
    <t>Total (A)</t>
  </si>
  <si>
    <t>Premiums earned - Net</t>
  </si>
  <si>
    <t>(a) Premium</t>
  </si>
  <si>
    <t>Direct   -  First year premiums</t>
  </si>
  <si>
    <t xml:space="preserve">           -  Renewal premiums</t>
  </si>
  <si>
    <t xml:space="preserve">           -  Single premiums</t>
  </si>
  <si>
    <t>Total premium</t>
  </si>
  <si>
    <t>Premium Income from business written:</t>
  </si>
  <si>
    <t>- In India</t>
  </si>
  <si>
    <t>- Outside India</t>
  </si>
  <si>
    <t>Insurance claims</t>
  </si>
  <si>
    <t>(a) Claims by death</t>
  </si>
  <si>
    <t>(b) Claims by maturity</t>
  </si>
  <si>
    <t>(c) Annuities  /  Pension payment</t>
  </si>
  <si>
    <t>(d) Others</t>
  </si>
  <si>
    <t>Survival Benefits</t>
  </si>
  <si>
    <t xml:space="preserve">- Surrender </t>
  </si>
  <si>
    <t xml:space="preserve">- Discontinuance/Lapsed Termination </t>
  </si>
  <si>
    <t xml:space="preserve">- Withdrawals </t>
  </si>
  <si>
    <t xml:space="preserve">- Rider </t>
  </si>
  <si>
    <t xml:space="preserve">- Health </t>
  </si>
  <si>
    <t>Lumpsum Benefit/Income Benefit(Installment)</t>
  </si>
  <si>
    <t>Bonus to Policyholders</t>
  </si>
  <si>
    <t>Vesting of pension policy</t>
  </si>
  <si>
    <t>Waiver of Premium</t>
  </si>
  <si>
    <t xml:space="preserve">- Interest on unclaimed amounts  </t>
  </si>
  <si>
    <t>Claim Investigation Fees</t>
  </si>
  <si>
    <t xml:space="preserve">- Others </t>
  </si>
  <si>
    <t>(Amount ceded in reinsurance)</t>
  </si>
  <si>
    <t>(c) Annuities  /  pension payment</t>
  </si>
  <si>
    <t>(d) Other benefits/Health</t>
  </si>
  <si>
    <t>(e) Riders</t>
  </si>
  <si>
    <t>Amount accepted in reinsurance</t>
  </si>
  <si>
    <t>(d) Other benefits</t>
  </si>
  <si>
    <t>Total</t>
  </si>
  <si>
    <t>Benefits paid to Claimants</t>
  </si>
  <si>
    <t>In India</t>
  </si>
  <si>
    <t>Outside India</t>
  </si>
  <si>
    <t>L4:PREMIUM SCHEDULE</t>
  </si>
  <si>
    <t>(in 000)</t>
  </si>
  <si>
    <t>Commission</t>
  </si>
  <si>
    <t>Direct    -  First year premiums</t>
  </si>
  <si>
    <t xml:space="preserve">              -  Renewal premiums</t>
  </si>
  <si>
    <t xml:space="preserve">              -  Single premiums</t>
  </si>
  <si>
    <t>Add: Commission on Re-insurance accepted</t>
  </si>
  <si>
    <t>Less: Commission on Re-insurance ceded</t>
  </si>
  <si>
    <t>Net commission</t>
  </si>
  <si>
    <t xml:space="preserve">Break-up of the commission expenses (Gross) </t>
  </si>
  <si>
    <t>incurred to procure business:</t>
  </si>
  <si>
    <t>Agents</t>
  </si>
  <si>
    <t>Corporate agency</t>
  </si>
  <si>
    <t>Bancassurance</t>
  </si>
  <si>
    <t>Micro Insurance Agent</t>
  </si>
  <si>
    <t>Web Aggregator</t>
  </si>
  <si>
    <t>Referral</t>
  </si>
  <si>
    <t>Others</t>
  </si>
  <si>
    <t>(Amount in '000)</t>
  </si>
  <si>
    <t xml:space="preserve">Employees' remuneration &amp; welfare benefits </t>
  </si>
  <si>
    <t>Travel, conveyance and vehicle running expenses</t>
  </si>
  <si>
    <t>Training expenses</t>
  </si>
  <si>
    <t xml:space="preserve">Rent, rates &amp; taxes </t>
  </si>
  <si>
    <t>Repairs</t>
  </si>
  <si>
    <t>Printing &amp; stationery</t>
  </si>
  <si>
    <t>Communication expenses</t>
  </si>
  <si>
    <t>Legal &amp; professional charges</t>
  </si>
  <si>
    <t>Medical fees</t>
  </si>
  <si>
    <t>Auditors' fees,expenses,etc.</t>
  </si>
  <si>
    <t>(a) as auditor</t>
  </si>
  <si>
    <t>(b) as adviser or in any other capacity,in respect of</t>
  </si>
  <si>
    <t xml:space="preserve">      (i) Taxation matters</t>
  </si>
  <si>
    <t xml:space="preserve">      (ii) Insurance matters</t>
  </si>
  <si>
    <t xml:space="preserve">      (iii)Management services; certification fee</t>
  </si>
  <si>
    <t>(c) in any other capacity</t>
  </si>
  <si>
    <t xml:space="preserve">(d) Out of pocket expenses </t>
  </si>
  <si>
    <t>Advertisement, Publicity and marketing</t>
  </si>
  <si>
    <t>Interest &amp; bank charges</t>
  </si>
  <si>
    <t xml:space="preserve">Agent Recruitment expenses </t>
  </si>
  <si>
    <t>Information technology expenses</t>
  </si>
  <si>
    <t>Goods and Service Tax/ Service Tax</t>
  </si>
  <si>
    <t>Stamp duty on policies</t>
  </si>
  <si>
    <t>Depreciation</t>
  </si>
  <si>
    <t>(Profit)/Loss on sale of Assests</t>
  </si>
  <si>
    <t>Distribution Expenses</t>
  </si>
  <si>
    <t>Business promotion expenses</t>
  </si>
  <si>
    <t>Business Processing Services</t>
  </si>
  <si>
    <t xml:space="preserve">Office Expenses </t>
  </si>
  <si>
    <t>Electricity</t>
  </si>
  <si>
    <t xml:space="preserve">Recruitment expenses </t>
  </si>
  <si>
    <t>Other expenses</t>
  </si>
  <si>
    <t>outsourcing expenses</t>
  </si>
  <si>
    <t>Contribution from Sharehoders Account towards Expense of Management</t>
  </si>
  <si>
    <r>
      <rPr>
        <sz val="9"/>
        <rFont val="Comic Sans MS"/>
        <family val="4"/>
      </rPr>
      <t>Surplus/ (Deficit) from Policyholders Accounts</t>
    </r>
  </si>
  <si>
    <r>
      <rPr>
        <sz val="9"/>
        <rFont val="Comic Sans MS"/>
        <family val="4"/>
      </rPr>
      <t>Income from Investments</t>
    </r>
  </si>
  <si>
    <r>
      <rPr>
        <sz val="9"/>
        <rFont val="Comic Sans MS"/>
        <family val="4"/>
      </rPr>
      <t>(a) Interest, Dividend &amp; Rent -  Gross</t>
    </r>
  </si>
  <si>
    <r>
      <rPr>
        <sz val="9"/>
        <rFont val="Comic Sans MS"/>
        <family val="4"/>
      </rPr>
      <t>(b) Profit on sale / redemption of investments</t>
    </r>
  </si>
  <si>
    <r>
      <rPr>
        <sz val="9"/>
        <rFont val="Comic Sans MS"/>
        <family val="4"/>
      </rPr>
      <t>(c) (Loss on sale / redemption of investments)</t>
    </r>
  </si>
  <si>
    <r>
      <rPr>
        <sz val="9"/>
        <rFont val="Comic Sans MS"/>
        <family val="4"/>
      </rPr>
      <t>(d) Accretion of discount/(amortisation of premium) (net)</t>
    </r>
  </si>
  <si>
    <r>
      <rPr>
        <sz val="9"/>
        <rFont val="Comic Sans MS"/>
        <family val="4"/>
      </rPr>
      <t>Other Income</t>
    </r>
  </si>
  <si>
    <r>
      <rPr>
        <sz val="9"/>
        <rFont val="Comic Sans MS"/>
        <family val="4"/>
      </rPr>
      <t>Expenses other than those directly related to the insurance business</t>
    </r>
  </si>
  <si>
    <r>
      <rPr>
        <sz val="9"/>
        <rFont val="Comic Sans MS"/>
        <family val="4"/>
      </rPr>
      <t>(a) Rates and Taxes</t>
    </r>
  </si>
  <si>
    <r>
      <rPr>
        <sz val="9"/>
        <rFont val="Comic Sans MS"/>
        <family val="4"/>
      </rPr>
      <t>(b) Directors' Sitting Fees</t>
    </r>
  </si>
  <si>
    <r>
      <rPr>
        <sz val="9"/>
        <rFont val="Comic Sans MS"/>
        <family val="4"/>
      </rPr>
      <t>(c) Board Meeting Related Expenses</t>
    </r>
  </si>
  <si>
    <r>
      <rPr>
        <sz val="9"/>
        <rFont val="Comic Sans MS"/>
        <family val="4"/>
      </rPr>
      <t>(d) Depreciation</t>
    </r>
  </si>
  <si>
    <r>
      <rPr>
        <sz val="9"/>
        <rFont val="Comic Sans MS"/>
        <family val="4"/>
      </rPr>
      <t>(e) Other expenses</t>
    </r>
  </si>
  <si>
    <r>
      <rPr>
        <sz val="9"/>
        <rFont val="Comic Sans MS"/>
        <family val="4"/>
      </rPr>
      <t>(f) Corporate Social Responsibility expenses</t>
    </r>
  </si>
  <si>
    <r>
      <rPr>
        <sz val="9"/>
        <rFont val="Comic Sans MS"/>
        <family val="4"/>
      </rPr>
      <t>Bad debts written off</t>
    </r>
  </si>
  <si>
    <r>
      <rPr>
        <sz val="9"/>
        <rFont val="Comic Sans MS"/>
        <family val="4"/>
      </rPr>
      <t>Contribution to the Policyholders' Fund</t>
    </r>
  </si>
  <si>
    <r>
      <rPr>
        <sz val="9"/>
        <rFont val="Comic Sans MS"/>
        <family val="4"/>
      </rPr>
      <t>Provisions (Other than taxation)</t>
    </r>
  </si>
  <si>
    <r>
      <rPr>
        <sz val="9"/>
        <rFont val="Comic Sans MS"/>
        <family val="4"/>
      </rPr>
      <t>(a) For diminution in the value of investment (net)</t>
    </r>
  </si>
  <si>
    <r>
      <rPr>
        <sz val="9"/>
        <rFont val="Comic Sans MS"/>
        <family val="4"/>
      </rPr>
      <t>(b) Provision for doubtful debts</t>
    </r>
  </si>
  <si>
    <r>
      <rPr>
        <sz val="9"/>
        <rFont val="Comic Sans MS"/>
        <family val="4"/>
      </rPr>
      <t>Profit / (Loss) before tax</t>
    </r>
  </si>
  <si>
    <r>
      <rPr>
        <sz val="9"/>
        <rFont val="Comic Sans MS"/>
        <family val="4"/>
      </rPr>
      <t>Provision for Taxation</t>
    </r>
  </si>
  <si>
    <t>Deferred Tax credit/(charge)</t>
  </si>
  <si>
    <r>
      <rPr>
        <sz val="9"/>
        <rFont val="Comic Sans MS"/>
        <family val="4"/>
      </rPr>
      <t>-Income Tax</t>
    </r>
  </si>
  <si>
    <r>
      <rPr>
        <sz val="9"/>
        <rFont val="Comic Sans MS"/>
        <family val="4"/>
      </rPr>
      <t>Profit / (Loss) after tax</t>
    </r>
  </si>
  <si>
    <t>APPROPRIATIONS</t>
  </si>
  <si>
    <r>
      <rPr>
        <sz val="9"/>
        <rFont val="Comic Sans MS"/>
        <family val="4"/>
      </rPr>
      <t>(a) Balance at the beginning of the period</t>
    </r>
  </si>
  <si>
    <r>
      <rPr>
        <sz val="9"/>
        <rFont val="Comic Sans MS"/>
        <family val="4"/>
      </rPr>
      <t>(b) Interim dividend paid during the period</t>
    </r>
  </si>
  <si>
    <t>(c) Proposed final/interim dividend</t>
  </si>
  <si>
    <r>
      <rPr>
        <sz val="9"/>
        <rFont val="Comic Sans MS"/>
        <family val="4"/>
      </rPr>
      <t>(d) Dividend distribution tax</t>
    </r>
  </si>
  <si>
    <r>
      <rPr>
        <sz val="9"/>
        <rFont val="Comic Sans MS"/>
        <family val="4"/>
      </rPr>
      <t>(e) Transfer to reserves / other accounts</t>
    </r>
  </si>
  <si>
    <t>Profit / (Loss) carried to the Balance Sheet</t>
  </si>
  <si>
    <r>
      <rPr>
        <b/>
        <sz val="9"/>
        <rFont val="Comic Sans MS"/>
        <family val="4"/>
      </rPr>
      <t>EARNINGS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PER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EQUITY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SHARE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(in</t>
    </r>
    <r>
      <rPr>
        <sz val="9"/>
        <rFont val="Comic Sans MS"/>
        <family val="4"/>
      </rPr>
      <t xml:space="preserve"> `</t>
    </r>
    <r>
      <rPr>
        <b/>
        <sz val="9"/>
        <rFont val="Comic Sans MS"/>
        <family val="4"/>
      </rPr>
      <t>)</t>
    </r>
  </si>
  <si>
    <r>
      <rPr>
        <sz val="9"/>
        <rFont val="Comic Sans MS"/>
        <family val="4"/>
      </rPr>
      <t>(Face Value ` 10/- per share)</t>
    </r>
  </si>
  <si>
    <t>Basic</t>
  </si>
  <si>
    <t>Diluted</t>
  </si>
  <si>
    <t>L2:PROFIT &amp; LOSS ACCOUNT</t>
  </si>
  <si>
    <t>Figures in '000'</t>
  </si>
  <si>
    <t>L5:COMMISSION SCHEDULE</t>
  </si>
  <si>
    <t>L7:BENEFITS PAID SCHEDULE</t>
  </si>
  <si>
    <t>L6:Operating Expenses Schedule Related to Insurance Business</t>
  </si>
  <si>
    <t>Figures in Crores</t>
  </si>
  <si>
    <t xml:space="preserve">L38:BUSINESS ACQUISITION (Individual) Number of Policies </t>
  </si>
  <si>
    <t>Aditya Birla Sun Life Insurance Company Limited</t>
  </si>
  <si>
    <t>Aegon Life Insurance Company Limited</t>
  </si>
  <si>
    <t>Aviva Life Insurance Company India Private Limited</t>
  </si>
  <si>
    <t>Bajaj Allianz Life Insurance Company Limited</t>
  </si>
  <si>
    <t>Bharti AXA Life Insurance Private Limited</t>
  </si>
  <si>
    <t>Canara HSBC Oriental Bank of Commerce Life Insurance Company Limited</t>
  </si>
  <si>
    <t>Edelweiss Tokio Life Insurance Company Limited</t>
  </si>
  <si>
    <t>Exide life Insurance Company Limited</t>
  </si>
  <si>
    <t>Future Generali India Life Insurance Company Limited</t>
  </si>
  <si>
    <t>HDFC Life Insurance Company Limited</t>
  </si>
  <si>
    <t>ICICI Prudential Life Insurance Company Limited</t>
  </si>
  <si>
    <t>IDBI Federal Life Insurance Company Limited</t>
  </si>
  <si>
    <t>IndiaFirst Life Insurance Company Limited</t>
  </si>
  <si>
    <t>Kotak Mahindra Life Insurance Company Limited</t>
  </si>
  <si>
    <t>Max Life Insurance Company Limited</t>
  </si>
  <si>
    <t>PNB MetLife India Insurance Company Limited</t>
  </si>
  <si>
    <t>Reliance Nippon Life Insurance Company Limited</t>
  </si>
  <si>
    <t>Sahara India Life Insurance Company Limited</t>
  </si>
  <si>
    <t>SBI Life Insurance Company Limited</t>
  </si>
  <si>
    <t>Shriram Life Insurance Company Limited</t>
  </si>
  <si>
    <t>Star Union Dai-ichi Life Insurance Company Limited</t>
  </si>
  <si>
    <t>Tata AIA Life Insurance Company Limited</t>
  </si>
  <si>
    <t>Life Insurance Corporation of India</t>
  </si>
  <si>
    <t>IDBI Federal Life Insurance Company Limited Nothing</t>
  </si>
  <si>
    <t>SBI Life Insurance Company Limited (In Crore)</t>
  </si>
  <si>
    <t>Reliance Nippon Life Insurance Company Limited  (In Crore)</t>
  </si>
  <si>
    <t>ICICI Prudential Life Insurance Company Limited  (In Crore)</t>
  </si>
  <si>
    <t xml:space="preserve">Edelweiss Tokio Life Insurance Company Limited </t>
  </si>
  <si>
    <t>online</t>
  </si>
  <si>
    <t>(c) Others-Provision</t>
  </si>
  <si>
    <t>L-4</t>
  </si>
  <si>
    <t>(b) Reinsurance ceded</t>
  </si>
  <si>
    <t>(c) Reinsurance accepted</t>
  </si>
  <si>
    <t>SUB - TOTAL</t>
  </si>
  <si>
    <t>Income from investments</t>
  </si>
  <si>
    <t>(a) Interest, Dividends &amp; Rent - Gross</t>
  </si>
  <si>
    <t>(b) Profit on sale / redemption of investments</t>
  </si>
  <si>
    <t>(c) (Loss on sale / redemption of investments)</t>
  </si>
  <si>
    <t>(d) Transfer /Gain on revaluation / change in fair value*</t>
  </si>
  <si>
    <t>(e) Accretion of discount/(amortisation of premium) (Net)</t>
  </si>
  <si>
    <t xml:space="preserve">Other income  </t>
  </si>
  <si>
    <t>(a) Contribution from the Shareholders' A/c</t>
  </si>
  <si>
    <t>(b) Income on unclaimed amount of policyholders</t>
  </si>
  <si>
    <t>(c) Miscellaneous income</t>
  </si>
  <si>
    <t>L-5</t>
  </si>
  <si>
    <t>Operating expenses related to insurance business</t>
  </si>
  <si>
    <t>L-6</t>
  </si>
  <si>
    <t>Provision for doubtful debts</t>
  </si>
  <si>
    <t>Bad debts written off</t>
  </si>
  <si>
    <t>Provision for tax</t>
  </si>
  <si>
    <t xml:space="preserve"> - Income tax</t>
  </si>
  <si>
    <t>Provisions (other than taxation)</t>
  </si>
  <si>
    <t xml:space="preserve">(a) For diminution in the value of investments (Net) </t>
  </si>
  <si>
    <t xml:space="preserve">(b) For standard assets </t>
  </si>
  <si>
    <t>Good and Service Tax charges on charges</t>
  </si>
  <si>
    <t>Total (B)</t>
  </si>
  <si>
    <t>Benefits paid (Net)</t>
  </si>
  <si>
    <t>L-7</t>
  </si>
  <si>
    <t xml:space="preserve">Interim &amp; Terminal bonuses paid </t>
  </si>
  <si>
    <t xml:space="preserve">Change in valuation of liability in respect of life policies </t>
  </si>
  <si>
    <t>(a) Gross**</t>
  </si>
  <si>
    <t>(b) Amount ceded in Re-insurance</t>
  </si>
  <si>
    <t>(c) Amount accepted in Re-insurance</t>
  </si>
  <si>
    <t>(d) Fund reserve</t>
  </si>
  <si>
    <t>(e) Funds for discontinued policies</t>
  </si>
  <si>
    <t>Total (C)</t>
  </si>
  <si>
    <t>SURPLUS/ (DEFICIT) (D) = [(A)-(B)-(C)]</t>
  </si>
  <si>
    <t>Balance of previous year</t>
  </si>
  <si>
    <t>Balance available for appropriation</t>
  </si>
  <si>
    <t>Transfer to Shareholders' account</t>
  </si>
  <si>
    <t xml:space="preserve">Transfer to other reserves </t>
  </si>
  <si>
    <t>Balance being Funds for Future Appropriations</t>
  </si>
  <si>
    <t>a) Interim &amp; Terminal bonuses paid</t>
  </si>
  <si>
    <t>b) Allocation of bonus to policyholders</t>
  </si>
  <si>
    <t>c) Surplus shown in the revenue account</t>
  </si>
  <si>
    <t>d) Total Surplus: [(a) + (b) + (c )]</t>
  </si>
  <si>
    <t>Capital reserve</t>
  </si>
  <si>
    <t>Capital redemption reserve</t>
  </si>
  <si>
    <t>Share premium</t>
  </si>
  <si>
    <t>Revaluation reserve</t>
  </si>
  <si>
    <t>General reserves</t>
  </si>
  <si>
    <t>Less : Debit balance in Profit and Loss account, If any</t>
  </si>
  <si>
    <t>Less : Amount utililized for buy-back</t>
  </si>
  <si>
    <t>Catastrophe reserve</t>
  </si>
  <si>
    <t xml:space="preserve">Other reserves </t>
  </si>
  <si>
    <t>Balance of profit in Profit and Loss account</t>
  </si>
  <si>
    <t>Debentures / Bonds</t>
  </si>
  <si>
    <t>Banks</t>
  </si>
  <si>
    <t>Financial institutions</t>
  </si>
  <si>
    <t>Form L-10-Reserves and Surplus Schedule(Amount in '000)</t>
  </si>
  <si>
    <t>Form L-11 -Borrowings Schedule  (Amount in '000)</t>
  </si>
  <si>
    <t>Transfer to Balance Sheet being deficit in Revenue Account (Policyholders' account)</t>
  </si>
  <si>
    <t>Expenses in excess of Allowable Expense transferred to Shareholders Account</t>
  </si>
  <si>
    <t>(f) Provision for linked liabilities</t>
  </si>
  <si>
    <t>L1:REVENUE ACCOUNT Figures in '000'</t>
  </si>
  <si>
    <t>(g) Appreciation in unclaimed balances</t>
  </si>
  <si>
    <t>-</t>
  </si>
  <si>
    <t>(f) Corporate Social Responsibility expenses</t>
  </si>
  <si>
    <t>(f) Unrealised Gains</t>
  </si>
  <si>
    <t>Transfer from Linked Fund (Lapsed policies)</t>
  </si>
  <si>
    <t>L37:BUSINESS ACQUISITION THROUGH DIFFERENT CHANNELS (GROUP) Premium</t>
  </si>
  <si>
    <t>L38::BUSINESS ACQUISITION THROUGH DIFFERENT CHANNELS (Individual) Premium</t>
  </si>
  <si>
    <t>L25 :Geographical Representation of Life Insurance Business</t>
  </si>
  <si>
    <t>Rural(Individual)</t>
  </si>
  <si>
    <t>No. of Policies</t>
  </si>
  <si>
    <t xml:space="preserve">No. of Lives </t>
  </si>
  <si>
    <t xml:space="preserve">Premium (` in Crores)     </t>
  </si>
  <si>
    <t xml:space="preserve">Premium   (`in Crores)     </t>
  </si>
  <si>
    <t xml:space="preserve">Aditya Birla Sun Life Insurance Company Limited </t>
  </si>
  <si>
    <t>Urban(Individual)</t>
  </si>
  <si>
    <t xml:space="preserve">Bajaj Allianz Life Insurance Company Limited  </t>
  </si>
  <si>
    <t xml:space="preserve">Bharti AXA Life Insurance Private Limited  </t>
  </si>
  <si>
    <t xml:space="preserve">Exide life Insurance Company Limited  </t>
  </si>
  <si>
    <t xml:space="preserve">Future Generali India Life Insurance Company Limited  </t>
  </si>
  <si>
    <t xml:space="preserve">HDFC Life Insurance Company Limited   </t>
  </si>
  <si>
    <t xml:space="preserve">Canara HSBC Oriental Bank of Commerce Life Insurance Company Limited </t>
  </si>
  <si>
    <t xml:space="preserve">Shriram Life Insurance Company Limited </t>
  </si>
  <si>
    <t>Life Industry Total</t>
  </si>
  <si>
    <t xml:space="preserve">PNB MetLife India Insurance Company Limited </t>
  </si>
  <si>
    <t>Current Tax (Credit)/Charge</t>
  </si>
  <si>
    <t>Provision for current tax</t>
  </si>
  <si>
    <t>Total (E)</t>
  </si>
  <si>
    <t>(c)Others</t>
  </si>
  <si>
    <t>Individual Business</t>
  </si>
  <si>
    <r>
      <rPr>
        <b/>
        <sz val="9"/>
        <color indexed="30"/>
        <rFont val="Comic Sans MS"/>
        <family val="4"/>
      </rPr>
      <t>Total</t>
    </r>
    <r>
      <rPr>
        <sz val="9"/>
        <color indexed="30"/>
        <rFont val="Comic Sans MS"/>
        <family val="4"/>
      </rPr>
      <t xml:space="preserve"> </t>
    </r>
    <r>
      <rPr>
        <b/>
        <sz val="9"/>
        <color indexed="30"/>
        <rFont val="Comic Sans MS"/>
        <family val="4"/>
      </rPr>
      <t>(B)</t>
    </r>
  </si>
  <si>
    <r>
      <rPr>
        <b/>
        <sz val="9"/>
        <color indexed="30"/>
        <rFont val="Comic Sans MS"/>
        <family val="4"/>
      </rPr>
      <t>Total</t>
    </r>
    <r>
      <rPr>
        <sz val="9"/>
        <color indexed="30"/>
        <rFont val="Comic Sans MS"/>
        <family val="4"/>
      </rPr>
      <t xml:space="preserve"> </t>
    </r>
    <r>
      <rPr>
        <b/>
        <sz val="9"/>
        <color indexed="30"/>
        <rFont val="Comic Sans MS"/>
        <family val="4"/>
      </rPr>
      <t>(A)</t>
    </r>
  </si>
  <si>
    <t>Upto Q2 1920</t>
  </si>
  <si>
    <t>AS at 30.09.2019</t>
  </si>
  <si>
    <t>Upto Q2 201920</t>
  </si>
  <si>
    <t>(h) Non Linked</t>
  </si>
  <si>
    <t>68,77,701</t>
  </si>
  <si>
    <t>2,95,77,489</t>
  </si>
  <si>
    <t>13,64,59,765</t>
  </si>
  <si>
    <t>58,94,138</t>
  </si>
  <si>
    <t>95,16,566</t>
  </si>
  <si>
    <t>€ Transfer/Gain on revaluation/change in fair value</t>
  </si>
  <si>
    <t>Upto Q2 202021</t>
  </si>
  <si>
    <t>Upto Q2 2021</t>
  </si>
  <si>
    <t>Pramerica Life Insurance Company Limited</t>
  </si>
  <si>
    <t>For Q2 2021</t>
  </si>
  <si>
    <t>Rewards &amp; Remuneration to Agents</t>
  </si>
  <si>
    <t>Total Commission and rewards &amp; remuneration</t>
  </si>
  <si>
    <t xml:space="preserve">Sahara India Life Insurance Company Limited </t>
  </si>
  <si>
    <t>AS at 30.09.2020</t>
  </si>
  <si>
    <t>L3-Balance Sheet</t>
  </si>
  <si>
    <t xml:space="preserve">Aegon Life Insurance Company Limited </t>
  </si>
  <si>
    <t xml:space="preserve">Bharti AXA Life Insurance Private Limited </t>
  </si>
  <si>
    <t xml:space="preserve">Exide life Insurance Company Limited </t>
  </si>
  <si>
    <t xml:space="preserve">Future Generali India Life Insurance Company Limited </t>
  </si>
  <si>
    <t xml:space="preserve">HDFC Life Insurance Company Limited </t>
  </si>
  <si>
    <t xml:space="preserve">ICICI Prudential Life Insurance Company Limited </t>
  </si>
  <si>
    <t xml:space="preserve">IDBI Federal Life Insurance Company Limited </t>
  </si>
  <si>
    <t xml:space="preserve">Star Union Dai-ichi Life Insurance Company Limited </t>
  </si>
  <si>
    <t>SOURCES OF FUNDS</t>
  </si>
  <si>
    <t>Shareholders' Funds</t>
  </si>
  <si>
    <r>
      <t xml:space="preserve">Share Capital </t>
    </r>
    <r>
      <rPr>
        <b/>
        <sz val="8"/>
        <color indexed="8"/>
        <rFont val="Comic Sans MS"/>
        <family val="4"/>
      </rPr>
      <t>L8</t>
    </r>
  </si>
  <si>
    <t>Share Application Money pending Allotment</t>
  </si>
  <si>
    <r>
      <t>Reserves And Surplus</t>
    </r>
    <r>
      <rPr>
        <b/>
        <sz val="8"/>
        <color indexed="8"/>
        <rFont val="Comic Sans MS"/>
        <family val="4"/>
      </rPr>
      <t xml:space="preserve"> L10</t>
    </r>
  </si>
  <si>
    <t>Credit/(Debit) Fair Value Change Account (Net)</t>
  </si>
  <si>
    <t>Deffered Tax Liability</t>
  </si>
  <si>
    <t>Sub-Total</t>
  </si>
  <si>
    <r>
      <t xml:space="preserve">Borrowings </t>
    </r>
    <r>
      <rPr>
        <b/>
        <sz val="8"/>
        <color indexed="8"/>
        <rFont val="Comic Sans MS"/>
        <family val="4"/>
      </rPr>
      <t>L11</t>
    </r>
  </si>
  <si>
    <t>Policyholders' Funds:</t>
  </si>
  <si>
    <t>Revaluation Reserve-Investment Property</t>
  </si>
  <si>
    <t>Policy Liabilities</t>
  </si>
  <si>
    <t>Surplus on Policy Holder's  A/c</t>
  </si>
  <si>
    <t>Linked</t>
  </si>
  <si>
    <t>Non Linked</t>
  </si>
  <si>
    <t>Insurance Reserves</t>
  </si>
  <si>
    <t>Linked Liabilities</t>
  </si>
  <si>
    <t>Fair value change</t>
  </si>
  <si>
    <t>Provision For Linked Liabilities</t>
  </si>
  <si>
    <t>Credit/(Debit) Fair Value Change A/c (Linked)Change Account (Net)</t>
  </si>
  <si>
    <t>Non Linked Liabilities</t>
  </si>
  <si>
    <t>Funds for Discontinued Policies</t>
  </si>
  <si>
    <t xml:space="preserve">   Discontinued on account of non-payment of premium</t>
  </si>
  <si>
    <t xml:space="preserve">   Others</t>
  </si>
  <si>
    <t>Credit/(Debit) Fair Value Change Account (Linked)</t>
  </si>
  <si>
    <t>Total Linked Liabilities</t>
  </si>
  <si>
    <t>Funds For Future Appropriations</t>
  </si>
  <si>
    <t>TOTAL</t>
  </si>
  <si>
    <t>APPLICATION OF FUNDS</t>
  </si>
  <si>
    <t>Investments</t>
  </si>
  <si>
    <r>
      <t xml:space="preserve">Shareholders' </t>
    </r>
    <r>
      <rPr>
        <b/>
        <sz val="8"/>
        <color indexed="8"/>
        <rFont val="Comic Sans MS"/>
        <family val="4"/>
      </rPr>
      <t xml:space="preserve"> L12</t>
    </r>
  </si>
  <si>
    <r>
      <t xml:space="preserve">Policyholders'  </t>
    </r>
    <r>
      <rPr>
        <b/>
        <sz val="8"/>
        <color indexed="8"/>
        <rFont val="Comic Sans MS"/>
        <family val="4"/>
      </rPr>
      <t>L13</t>
    </r>
  </si>
  <si>
    <r>
      <t xml:space="preserve">Assets Held To Cover Linked Liabilities </t>
    </r>
    <r>
      <rPr>
        <b/>
        <sz val="8"/>
        <color indexed="8"/>
        <rFont val="Comic Sans MS"/>
        <family val="4"/>
      </rPr>
      <t>L14</t>
    </r>
  </si>
  <si>
    <r>
      <t>Loans</t>
    </r>
    <r>
      <rPr>
        <b/>
        <sz val="8"/>
        <color indexed="8"/>
        <rFont val="Comic Sans MS"/>
        <family val="4"/>
      </rPr>
      <t xml:space="preserve"> L15</t>
    </r>
  </si>
  <si>
    <r>
      <t xml:space="preserve">Fixed Assets </t>
    </r>
    <r>
      <rPr>
        <b/>
        <sz val="8"/>
        <color indexed="8"/>
        <rFont val="Comic Sans MS"/>
        <family val="4"/>
      </rPr>
      <t>L 16</t>
    </r>
  </si>
  <si>
    <t>Current Assets</t>
  </si>
  <si>
    <t>Deferred Tax Assets</t>
  </si>
  <si>
    <r>
      <t xml:space="preserve">Cash and Bank Balances </t>
    </r>
    <r>
      <rPr>
        <b/>
        <sz val="8"/>
        <color indexed="8"/>
        <rFont val="Comic Sans MS"/>
        <family val="4"/>
      </rPr>
      <t>L17</t>
    </r>
  </si>
  <si>
    <t>Advances And Other Assets L18</t>
  </si>
  <si>
    <t>Sub-Total (A)</t>
  </si>
  <si>
    <r>
      <t xml:space="preserve">Current Liabilities </t>
    </r>
    <r>
      <rPr>
        <b/>
        <sz val="8"/>
        <color indexed="8"/>
        <rFont val="Comic Sans MS"/>
        <family val="4"/>
      </rPr>
      <t>L19</t>
    </r>
  </si>
  <si>
    <r>
      <t xml:space="preserve">Provisions </t>
    </r>
    <r>
      <rPr>
        <b/>
        <sz val="8"/>
        <color indexed="8"/>
        <rFont val="Comic Sans MS"/>
        <family val="4"/>
      </rPr>
      <t>L20</t>
    </r>
  </si>
  <si>
    <t>Sub-Total (B)</t>
  </si>
  <si>
    <t>Net Current Assets (C) = (A - B)</t>
  </si>
  <si>
    <t xml:space="preserve">Miscellaneous Expenditure </t>
  </si>
  <si>
    <t>(To the extent not written off or adjusted)</t>
  </si>
  <si>
    <t>Debit Balance of Profit and Loss Account</t>
  </si>
  <si>
    <t>Deficit in the Revenue Account (Policyholders' Account)</t>
  </si>
  <si>
    <t>CONTINGENT LIABILITIES</t>
  </si>
  <si>
    <t>Partly paid - up investments</t>
  </si>
  <si>
    <t>Claims, other than against policies, not acknowledged as debts by the Company</t>
  </si>
  <si>
    <t>Underwriting commitments outstanding</t>
  </si>
  <si>
    <t>Guarantees given by or on behalf of the Company</t>
  </si>
  <si>
    <t xml:space="preserve">Statutory demands/ liabilities in dispute, not provided for </t>
  </si>
  <si>
    <t>Reinsurance obligations to the extent not provided for in accounts</t>
  </si>
  <si>
    <t>In relation to Claims against policies</t>
  </si>
  <si>
    <t>Audited as at 30th September 2019</t>
  </si>
  <si>
    <t>Audited as at 30th September 2020</t>
  </si>
  <si>
    <t>a) Life</t>
  </si>
  <si>
    <t>b) General Annuity</t>
  </si>
  <si>
    <t>c) Pension</t>
  </si>
  <si>
    <t>d) Health</t>
  </si>
  <si>
    <t>e) Par</t>
  </si>
  <si>
    <t>f) Funds for discontinued policies</t>
  </si>
  <si>
    <t>Non-Linked</t>
  </si>
  <si>
    <t>Non Par Variable</t>
  </si>
  <si>
    <t>FORM L-24  Valuation of net liabiltiies: As at 30.09.2020</t>
  </si>
  <si>
    <t>Form L-15-Loans Schedule  (` in '000)</t>
  </si>
  <si>
    <t>SECURITY WISE CLASSIFICATION</t>
  </si>
  <si>
    <t>Secured</t>
  </si>
  <si>
    <t>(a)   On mortgage of property</t>
  </si>
  <si>
    <t xml:space="preserve">          (aa)   In India</t>
  </si>
  <si>
    <t xml:space="preserve">          (bb)  Outside India</t>
  </si>
  <si>
    <t>(b)  On Shares, Bonds, Govt Securities etc</t>
  </si>
  <si>
    <t>(c)  Loans against policies</t>
  </si>
  <si>
    <t>(d)  Others</t>
  </si>
  <si>
    <t>Unsecured</t>
  </si>
  <si>
    <t>Provision for Doubtful Debts</t>
  </si>
  <si>
    <t>BORROWER - WISE CLASSIFICATION</t>
  </si>
  <si>
    <t>(a)  Central and State Governments</t>
  </si>
  <si>
    <t>(b)  Banks and Financial institutions</t>
  </si>
  <si>
    <t>(c )  Subsidiaries</t>
  </si>
  <si>
    <t>(d)  Companies</t>
  </si>
  <si>
    <t>(e)   Loans against policies</t>
  </si>
  <si>
    <t>(f)   Others</t>
  </si>
  <si>
    <t>PERFORMANCE - WISE CLASSIFICATION</t>
  </si>
  <si>
    <t>(a)  Loans classified as standard</t>
  </si>
  <si>
    <t xml:space="preserve">        (aa)  In India</t>
  </si>
  <si>
    <t xml:space="preserve">        (bb) Outside India</t>
  </si>
  <si>
    <t>Provision for Standard Loans</t>
  </si>
  <si>
    <t>(b)  Non - standard loans less provisions</t>
  </si>
  <si>
    <t xml:space="preserve">        (bb)  Outside India</t>
  </si>
  <si>
    <t>Provision for Non Standard Loans</t>
  </si>
  <si>
    <t>MATURITY - WISE CLASSIFICATION</t>
  </si>
  <si>
    <t>(a)  Short Term</t>
  </si>
  <si>
    <t xml:space="preserve">        In India</t>
  </si>
  <si>
    <t xml:space="preserve">        Outside India</t>
  </si>
  <si>
    <t>Provision for Short Term</t>
  </si>
  <si>
    <t>(b)  Long Term</t>
  </si>
  <si>
    <t>Provision for Long Term</t>
  </si>
  <si>
    <t>As at 30th September,2020</t>
  </si>
  <si>
    <t xml:space="preserve">Pramerica Life Insurance Company Limited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</si>
</sst>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(* #,##0.00_);_(* \(#,##0.00\);_(* &quot;-&quot;??_);_(@_)"/>
    <numFmt numFmtId="172" formatCode="##0"/>
  </numFmts>
  <fonts count="65" x14ac:knownFonts="1">
    <font>
      <sz val="11"/>
      <color theme="1"/>
      <name val="Calibri"/>
      <family val="2"/>
      <scheme val="minor"/>
    </font>
    <font>
      <b/>
      <sz val="9"/>
      <name val="Comic Sans MS"/>
      <family val="4"/>
    </font>
    <font>
      <b/>
      <sz val="10"/>
      <name val="Comic Sans MS"/>
      <family val="4"/>
    </font>
    <font>
      <b/>
      <sz val="8"/>
      <name val="Comic Sans MS"/>
      <family val="4"/>
    </font>
    <font>
      <sz val="9"/>
      <name val="Comic Sans MS"/>
      <family val="4"/>
    </font>
    <font>
      <sz val="10"/>
      <name val="Comic Sans MS"/>
      <family val="4"/>
    </font>
    <font>
      <b/>
      <i/>
      <sz val="9"/>
      <name val="Comic Sans MS"/>
      <family val="4"/>
    </font>
    <font>
      <sz val="11"/>
      <name val="Comic Sans MS"/>
      <family val="4"/>
    </font>
    <font>
      <b/>
      <sz val="9"/>
      <color indexed="30"/>
      <name val="Comic Sans MS"/>
      <family val="4"/>
    </font>
    <font>
      <sz val="9"/>
      <color indexed="30"/>
      <name val="Comic Sans MS"/>
      <family val="4"/>
    </font>
    <font>
      <b/>
      <sz val="8"/>
      <color indexed="8"/>
      <name val="Comic Sans MS"/>
      <family val="4"/>
    </font>
    <font>
      <b/>
      <sz val="7"/>
      <name val="Comic Sans MS"/>
      <family val="4"/>
    </font>
    <font>
      <b/>
      <sz val="7"/>
      <name val="Cambria"/>
      <family val="1"/>
    </font>
    <font>
      <b/>
      <sz val="7"/>
      <name val="Arial"/>
      <family val="2"/>
    </font>
    <font>
      <sz val="7"/>
      <name val="Comic Sans MS"/>
      <family val="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omic Sans MS"/>
      <family val="4"/>
    </font>
    <font>
      <b/>
      <sz val="9"/>
      <color theme="1"/>
      <name val="Comic Sans MS"/>
      <family val="4"/>
    </font>
    <font>
      <sz val="9"/>
      <color rgb="FF000000"/>
      <name val="Comic Sans MS"/>
      <family val="4"/>
    </font>
    <font>
      <i/>
      <sz val="9"/>
      <color theme="1"/>
      <name val="Comic Sans MS"/>
      <family val="4"/>
    </font>
    <font>
      <sz val="11"/>
      <color theme="1"/>
      <name val="Comic Sans MS"/>
      <family val="4"/>
    </font>
    <font>
      <sz val="10"/>
      <color theme="1"/>
      <name val="Comic Sans MS"/>
      <family val="4"/>
    </font>
    <font>
      <b/>
      <sz val="10"/>
      <color theme="1"/>
      <name val="Comic Sans MS"/>
      <family val="4"/>
    </font>
    <font>
      <b/>
      <sz val="9"/>
      <color rgb="FF000000"/>
      <name val="Comic Sans MS"/>
      <family val="4"/>
    </font>
    <font>
      <b/>
      <sz val="8"/>
      <color theme="1"/>
      <name val="Comic Sans MS"/>
      <family val="4"/>
    </font>
    <font>
      <sz val="8"/>
      <color rgb="FF000000"/>
      <name val="Comic Sans MS"/>
      <family val="4"/>
    </font>
    <font>
      <sz val="8"/>
      <color theme="1"/>
      <name val="Comic Sans MS"/>
      <family val="4"/>
    </font>
    <font>
      <b/>
      <sz val="8"/>
      <color rgb="FF000000"/>
      <name val="Comic Sans MS"/>
      <family val="4"/>
    </font>
    <font>
      <b/>
      <sz val="9"/>
      <color theme="4"/>
      <name val="Comic Sans MS"/>
      <family val="4"/>
    </font>
    <font>
      <sz val="9"/>
      <color theme="4"/>
      <name val="Comic Sans MS"/>
      <family val="4"/>
    </font>
    <font>
      <b/>
      <sz val="8"/>
      <color theme="4"/>
      <name val="Comic Sans MS"/>
      <family val="4"/>
    </font>
    <font>
      <sz val="11"/>
      <color theme="4"/>
      <name val="Comic Sans MS"/>
      <family val="4"/>
    </font>
    <font>
      <b/>
      <sz val="10"/>
      <color theme="4"/>
      <name val="Comic Sans MS"/>
      <family val="4"/>
    </font>
    <font>
      <b/>
      <sz val="11"/>
      <color theme="4"/>
      <name val="Comic Sans MS"/>
      <family val="4"/>
    </font>
    <font>
      <b/>
      <sz val="10"/>
      <color rgb="FF000000"/>
      <name val="Comic Sans MS"/>
      <family val="4"/>
    </font>
    <font>
      <sz val="9"/>
      <color theme="8"/>
      <name val="Comic Sans MS"/>
      <family val="4"/>
    </font>
    <font>
      <b/>
      <sz val="9"/>
      <color theme="8"/>
      <name val="Comic Sans MS"/>
      <family val="4"/>
    </font>
    <font>
      <sz val="11"/>
      <color theme="8"/>
      <name val="Comic Sans MS"/>
      <family val="4"/>
    </font>
    <font>
      <sz val="11"/>
      <color theme="8"/>
      <name val="Calibri"/>
      <family val="2"/>
      <scheme val="minor"/>
    </font>
    <font>
      <b/>
      <sz val="8"/>
      <color theme="8"/>
      <name val="Comic Sans MS"/>
      <family val="4"/>
    </font>
    <font>
      <sz val="8"/>
      <color theme="8"/>
      <name val="Comic Sans MS"/>
      <family val="4"/>
    </font>
    <font>
      <b/>
      <sz val="11"/>
      <color theme="8"/>
      <name val="Comic Sans MS"/>
      <family val="4"/>
    </font>
    <font>
      <b/>
      <sz val="10"/>
      <color theme="8"/>
      <name val="Comic Sans MS"/>
      <family val="4"/>
    </font>
    <font>
      <b/>
      <sz val="9"/>
      <color rgb="FF0070C0"/>
      <name val="Comic Sans MS"/>
      <family val="4"/>
    </font>
    <font>
      <sz val="9"/>
      <color rgb="FF0070C0"/>
      <name val="Comic Sans MS"/>
      <family val="4"/>
    </font>
    <font>
      <b/>
      <sz val="8"/>
      <color rgb="FF0070C0"/>
      <name val="Comic Sans MS"/>
      <family val="4"/>
    </font>
    <font>
      <b/>
      <sz val="11"/>
      <color rgb="FF0070C0"/>
      <name val="Comic Sans MS"/>
      <family val="4"/>
    </font>
    <font>
      <b/>
      <sz val="10"/>
      <color rgb="FF0070C0"/>
      <name val="Comic Sans MS"/>
      <family val="4"/>
    </font>
    <font>
      <b/>
      <sz val="9"/>
      <color rgb="FFFF0000"/>
      <name val="Comic Sans MS"/>
      <family val="4"/>
    </font>
    <font>
      <sz val="10"/>
      <color rgb="FF000000"/>
      <name val="Comic Sans MS"/>
      <family val="4"/>
    </font>
    <font>
      <sz val="8"/>
      <color rgb="FFFF0000"/>
      <name val="Comic Sans MS"/>
      <family val="4"/>
    </font>
    <font>
      <b/>
      <sz val="7"/>
      <color theme="1"/>
      <name val="Comic Sans MS"/>
      <family val="4"/>
    </font>
    <font>
      <sz val="7"/>
      <color theme="1"/>
      <name val="Comic Sans MS"/>
      <family val="4"/>
    </font>
    <font>
      <sz val="7"/>
      <color theme="8"/>
      <name val="Comic Sans MS"/>
      <family val="4"/>
    </font>
    <font>
      <sz val="7"/>
      <color rgb="FF000000"/>
      <name val="CIDFontF"/>
    </font>
    <font>
      <sz val="7"/>
      <color rgb="FF000000"/>
      <name val="Comic Sans MS"/>
      <family val="4"/>
    </font>
    <font>
      <b/>
      <sz val="14"/>
      <color theme="1"/>
      <name val="Comic Sans MS"/>
      <family val="4"/>
    </font>
    <font>
      <b/>
      <sz val="11"/>
      <color theme="1"/>
      <name val="Comic Sans MS"/>
      <family val="4"/>
    </font>
    <font>
      <i/>
      <sz val="8"/>
      <color rgb="FF000000"/>
      <name val="Comic Sans MS"/>
      <family val="4"/>
    </font>
    <font>
      <sz val="11"/>
      <color rgb="FFFF0000"/>
      <name val="Comic Sans MS"/>
      <family val="4"/>
    </font>
    <font>
      <b/>
      <i/>
      <sz val="9"/>
      <color theme="8"/>
      <name val="Comic Sans MS"/>
      <family val="4"/>
    </font>
    <font>
      <b/>
      <sz val="10"/>
      <color theme="1"/>
      <name val="Arial"/>
      <family val="2"/>
    </font>
    <font>
      <b/>
      <sz val="7"/>
      <color theme="8"/>
      <name val="Comic Sans MS"/>
      <family val="4"/>
    </font>
    <font>
      <b/>
      <u/>
      <sz val="7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</cellStyleXfs>
  <cellXfs count="1345">
    <xf numFmtId="0" fontId="0" fillId="0" borderId="0" xfId="0"/>
    <xf numFmtId="2" fontId="17" fillId="0" borderId="1" xfId="0" applyNumberFormat="1" applyFont="1" applyBorder="1" applyAlignment="1">
      <alignment horizontal="left"/>
    </xf>
    <xf numFmtId="2" fontId="17" fillId="0" borderId="2" xfId="0" applyNumberFormat="1" applyFont="1" applyBorder="1" applyAlignment="1">
      <alignment horizontal="left"/>
    </xf>
    <xf numFmtId="2" fontId="17" fillId="0" borderId="3" xfId="0" applyNumberFormat="1" applyFont="1" applyBorder="1" applyAlignment="1">
      <alignment horizontal="left"/>
    </xf>
    <xf numFmtId="2" fontId="18" fillId="0" borderId="1" xfId="0" applyNumberFormat="1" applyFont="1" applyBorder="1" applyAlignment="1">
      <alignment horizontal="left"/>
    </xf>
    <xf numFmtId="2" fontId="18" fillId="0" borderId="2" xfId="0" applyNumberFormat="1" applyFont="1" applyBorder="1" applyAlignment="1">
      <alignment horizontal="left"/>
    </xf>
    <xf numFmtId="2" fontId="18" fillId="0" borderId="3" xfId="0" applyNumberFormat="1" applyFont="1" applyBorder="1" applyAlignment="1">
      <alignment horizontal="left"/>
    </xf>
    <xf numFmtId="0" fontId="17" fillId="0" borderId="0" xfId="0" applyFont="1" applyAlignment="1">
      <alignment horizontal="left"/>
    </xf>
    <xf numFmtId="1" fontId="18" fillId="0" borderId="1" xfId="0" applyNumberFormat="1" applyFont="1" applyBorder="1" applyAlignment="1">
      <alignment horizontal="left" vertical="center"/>
    </xf>
    <xf numFmtId="1" fontId="18" fillId="0" borderId="4" xfId="0" applyNumberFormat="1" applyFont="1" applyBorder="1" applyAlignment="1">
      <alignment horizontal="left" vertical="center"/>
    </xf>
    <xf numFmtId="3" fontId="19" fillId="0" borderId="4" xfId="0" applyNumberFormat="1" applyFont="1" applyBorder="1" applyAlignment="1">
      <alignment horizontal="left"/>
    </xf>
    <xf numFmtId="1" fontId="17" fillId="0" borderId="2" xfId="0" applyNumberFormat="1" applyFont="1" applyBorder="1" applyAlignment="1">
      <alignment horizontal="left"/>
    </xf>
    <xf numFmtId="1" fontId="17" fillId="0" borderId="1" xfId="0" applyNumberFormat="1" applyFont="1" applyBorder="1" applyAlignment="1">
      <alignment horizontal="left"/>
    </xf>
    <xf numFmtId="2" fontId="17" fillId="0" borderId="4" xfId="0" applyNumberFormat="1" applyFont="1" applyBorder="1" applyAlignment="1">
      <alignment horizontal="left"/>
    </xf>
    <xf numFmtId="1" fontId="17" fillId="0" borderId="4" xfId="0" applyNumberFormat="1" applyFont="1" applyBorder="1" applyAlignment="1">
      <alignment horizontal="left"/>
    </xf>
    <xf numFmtId="1" fontId="17" fillId="0" borderId="3" xfId="0" applyNumberFormat="1" applyFont="1" applyBorder="1" applyAlignment="1">
      <alignment horizontal="left"/>
    </xf>
    <xf numFmtId="1" fontId="17" fillId="0" borderId="4" xfId="0" applyNumberFormat="1" applyFont="1" applyFill="1" applyBorder="1" applyAlignment="1">
      <alignment horizontal="left"/>
    </xf>
    <xf numFmtId="1" fontId="17" fillId="0" borderId="2" xfId="1" applyNumberFormat="1" applyFont="1" applyBorder="1" applyAlignment="1">
      <alignment horizontal="left"/>
    </xf>
    <xf numFmtId="1" fontId="18" fillId="0" borderId="4" xfId="1" applyNumberFormat="1" applyFont="1" applyBorder="1" applyAlignment="1">
      <alignment horizontal="left"/>
    </xf>
    <xf numFmtId="1" fontId="18" fillId="0" borderId="2" xfId="0" applyNumberFormat="1" applyFont="1" applyBorder="1" applyAlignment="1">
      <alignment horizontal="left"/>
    </xf>
    <xf numFmtId="1" fontId="18" fillId="0" borderId="1" xfId="0" applyNumberFormat="1" applyFont="1" applyBorder="1" applyAlignment="1">
      <alignment horizontal="left"/>
    </xf>
    <xf numFmtId="2" fontId="18" fillId="0" borderId="4" xfId="0" applyNumberFormat="1" applyFont="1" applyBorder="1" applyAlignment="1">
      <alignment horizontal="left"/>
    </xf>
    <xf numFmtId="1" fontId="18" fillId="0" borderId="4" xfId="0" applyNumberFormat="1" applyFont="1" applyBorder="1" applyAlignment="1">
      <alignment horizontal="left"/>
    </xf>
    <xf numFmtId="1" fontId="18" fillId="0" borderId="3" xfId="0" applyNumberFormat="1" applyFont="1" applyBorder="1" applyAlignment="1">
      <alignment horizontal="left"/>
    </xf>
    <xf numFmtId="1" fontId="17" fillId="0" borderId="0" xfId="0" applyNumberFormat="1" applyFont="1" applyAlignment="1">
      <alignment horizontal="left"/>
    </xf>
    <xf numFmtId="2" fontId="17" fillId="0" borderId="5" xfId="0" applyNumberFormat="1" applyFont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19" fillId="0" borderId="6" xfId="0" applyFont="1" applyBorder="1" applyAlignment="1">
      <alignment horizontal="left"/>
    </xf>
    <xf numFmtId="1" fontId="17" fillId="0" borderId="7" xfId="0" applyNumberFormat="1" applyFont="1" applyBorder="1" applyAlignment="1">
      <alignment horizontal="left" vertical="center"/>
    </xf>
    <xf numFmtId="1" fontId="17" fillId="0" borderId="8" xfId="0" applyNumberFormat="1" applyFont="1" applyBorder="1" applyAlignment="1">
      <alignment horizontal="left"/>
    </xf>
    <xf numFmtId="1" fontId="17" fillId="0" borderId="9" xfId="0" applyNumberFormat="1" applyFont="1" applyBorder="1" applyAlignment="1">
      <alignment horizontal="left"/>
    </xf>
    <xf numFmtId="1" fontId="17" fillId="0" borderId="7" xfId="0" applyNumberFormat="1" applyFont="1" applyBorder="1" applyAlignment="1">
      <alignment horizontal="left"/>
    </xf>
    <xf numFmtId="2" fontId="17" fillId="0" borderId="8" xfId="0" applyNumberFormat="1" applyFont="1" applyBorder="1" applyAlignment="1">
      <alignment horizontal="left"/>
    </xf>
    <xf numFmtId="2" fontId="17" fillId="0" borderId="9" xfId="0" applyNumberFormat="1" applyFont="1" applyBorder="1" applyAlignment="1">
      <alignment horizontal="left"/>
    </xf>
    <xf numFmtId="1" fontId="17" fillId="0" borderId="8" xfId="0" applyNumberFormat="1" applyFont="1" applyFill="1" applyBorder="1" applyAlignment="1">
      <alignment horizontal="left"/>
    </xf>
    <xf numFmtId="1" fontId="17" fillId="0" borderId="5" xfId="1" applyNumberFormat="1" applyFont="1" applyBorder="1" applyAlignment="1">
      <alignment horizontal="left"/>
    </xf>
    <xf numFmtId="1" fontId="18" fillId="0" borderId="10" xfId="0" applyNumberFormat="1" applyFont="1" applyBorder="1" applyAlignment="1">
      <alignment horizontal="left"/>
    </xf>
    <xf numFmtId="2" fontId="17" fillId="0" borderId="0" xfId="0" applyNumberFormat="1" applyFont="1" applyAlignment="1">
      <alignment horizontal="left"/>
    </xf>
    <xf numFmtId="1" fontId="17" fillId="0" borderId="1" xfId="0" applyNumberFormat="1" applyFont="1" applyBorder="1" applyAlignment="1">
      <alignment horizontal="left" vertical="center"/>
    </xf>
    <xf numFmtId="1" fontId="17" fillId="0" borderId="1" xfId="2" applyNumberFormat="1" applyFont="1" applyBorder="1" applyAlignment="1">
      <alignment horizontal="left"/>
    </xf>
    <xf numFmtId="1" fontId="18" fillId="0" borderId="11" xfId="0" applyNumberFormat="1" applyFont="1" applyBorder="1" applyAlignment="1">
      <alignment horizontal="left"/>
    </xf>
    <xf numFmtId="1" fontId="18" fillId="0" borderId="12" xfId="0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2" fontId="22" fillId="0" borderId="1" xfId="0" applyNumberFormat="1" applyFont="1" applyBorder="1" applyAlignment="1">
      <alignment horizontal="left"/>
    </xf>
    <xf numFmtId="2" fontId="22" fillId="0" borderId="2" xfId="0" applyNumberFormat="1" applyFont="1" applyBorder="1" applyAlignment="1">
      <alignment horizontal="left"/>
    </xf>
    <xf numFmtId="2" fontId="22" fillId="0" borderId="13" xfId="0" applyNumberFormat="1" applyFont="1" applyBorder="1" applyAlignment="1">
      <alignment horizontal="left"/>
    </xf>
    <xf numFmtId="2" fontId="22" fillId="0" borderId="3" xfId="0" applyNumberFormat="1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2" fontId="22" fillId="0" borderId="4" xfId="0" applyNumberFormat="1" applyFont="1" applyBorder="1" applyAlignment="1">
      <alignment horizontal="left"/>
    </xf>
    <xf numFmtId="2" fontId="22" fillId="0" borderId="1" xfId="0" applyNumberFormat="1" applyFont="1" applyFill="1" applyBorder="1" applyAlignment="1">
      <alignment horizontal="left"/>
    </xf>
    <xf numFmtId="2" fontId="23" fillId="0" borderId="4" xfId="0" applyNumberFormat="1" applyFont="1" applyBorder="1" applyAlignment="1">
      <alignment horizontal="left"/>
    </xf>
    <xf numFmtId="2" fontId="22" fillId="0" borderId="1" xfId="1" applyNumberFormat="1" applyFont="1" applyBorder="1" applyAlignment="1">
      <alignment horizontal="left"/>
    </xf>
    <xf numFmtId="2" fontId="23" fillId="0" borderId="1" xfId="0" applyNumberFormat="1" applyFont="1" applyBorder="1" applyAlignment="1">
      <alignment horizontal="left"/>
    </xf>
    <xf numFmtId="2" fontId="18" fillId="0" borderId="1" xfId="0" applyNumberFormat="1" applyFont="1" applyBorder="1" applyAlignment="1">
      <alignment horizontal="left" vertical="center"/>
    </xf>
    <xf numFmtId="2" fontId="23" fillId="0" borderId="2" xfId="0" applyNumberFormat="1" applyFont="1" applyBorder="1" applyAlignment="1">
      <alignment horizontal="left"/>
    </xf>
    <xf numFmtId="2" fontId="21" fillId="0" borderId="0" xfId="0" applyNumberFormat="1" applyFont="1" applyAlignment="1">
      <alignment horizontal="left"/>
    </xf>
    <xf numFmtId="2" fontId="18" fillId="0" borderId="1" xfId="2" applyNumberFormat="1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18" fillId="0" borderId="0" xfId="0" applyFont="1"/>
    <xf numFmtId="0" fontId="25" fillId="0" borderId="0" xfId="0" applyFont="1" applyAlignment="1">
      <alignment horizontal="left"/>
    </xf>
    <xf numFmtId="2" fontId="18" fillId="0" borderId="3" xfId="0" applyNumberFormat="1" applyFont="1" applyBorder="1" applyAlignment="1">
      <alignment horizontal="left" vertical="center"/>
    </xf>
    <xf numFmtId="0" fontId="18" fillId="0" borderId="0" xfId="0" applyFont="1" applyAlignment="1">
      <alignment horizontal="left"/>
    </xf>
    <xf numFmtId="2" fontId="18" fillId="0" borderId="13" xfId="0" applyNumberFormat="1" applyFont="1" applyBorder="1" applyAlignment="1">
      <alignment horizontal="left"/>
    </xf>
    <xf numFmtId="2" fontId="18" fillId="0" borderId="2" xfId="0" applyNumberFormat="1" applyFont="1" applyFill="1" applyBorder="1" applyAlignment="1">
      <alignment horizontal="left"/>
    </xf>
    <xf numFmtId="2" fontId="18" fillId="0" borderId="1" xfId="1" applyNumberFormat="1" applyFont="1" applyBorder="1" applyAlignment="1">
      <alignment horizontal="left"/>
    </xf>
    <xf numFmtId="0" fontId="24" fillId="0" borderId="14" xfId="0" applyFont="1" applyBorder="1" applyAlignment="1">
      <alignment horizontal="left"/>
    </xf>
    <xf numFmtId="0" fontId="21" fillId="0" borderId="0" xfId="0" applyFont="1"/>
    <xf numFmtId="0" fontId="26" fillId="0" borderId="15" xfId="0" applyFont="1" applyBorder="1" applyAlignment="1">
      <alignment horizontal="left"/>
    </xf>
    <xf numFmtId="1" fontId="25" fillId="0" borderId="1" xfId="0" applyNumberFormat="1" applyFont="1" applyBorder="1" applyAlignment="1">
      <alignment horizontal="left" vertical="center"/>
    </xf>
    <xf numFmtId="0" fontId="27" fillId="0" borderId="3" xfId="0" applyFont="1" applyBorder="1" applyAlignment="1">
      <alignment horizontal="left"/>
    </xf>
    <xf numFmtId="0" fontId="27" fillId="0" borderId="0" xfId="0" applyFont="1" applyAlignment="1">
      <alignment horizontal="left"/>
    </xf>
    <xf numFmtId="2" fontId="27" fillId="0" borderId="3" xfId="0" applyNumberFormat="1" applyFont="1" applyBorder="1" applyAlignment="1">
      <alignment horizontal="left" vertical="center"/>
    </xf>
    <xf numFmtId="2" fontId="27" fillId="0" borderId="1" xfId="0" applyNumberFormat="1" applyFont="1" applyBorder="1" applyAlignment="1">
      <alignment horizontal="left"/>
    </xf>
    <xf numFmtId="2" fontId="27" fillId="0" borderId="2" xfId="0" applyNumberFormat="1" applyFont="1" applyBorder="1" applyAlignment="1">
      <alignment horizontal="left"/>
    </xf>
    <xf numFmtId="2" fontId="27" fillId="0" borderId="3" xfId="0" applyNumberFormat="1" applyFont="1" applyBorder="1" applyAlignment="1">
      <alignment horizontal="left"/>
    </xf>
    <xf numFmtId="2" fontId="27" fillId="0" borderId="13" xfId="0" applyNumberFormat="1" applyFont="1" applyBorder="1" applyAlignment="1">
      <alignment horizontal="left"/>
    </xf>
    <xf numFmtId="1" fontId="27" fillId="0" borderId="1" xfId="0" applyNumberFormat="1" applyFont="1" applyBorder="1" applyAlignment="1">
      <alignment horizontal="left"/>
    </xf>
    <xf numFmtId="1" fontId="27" fillId="0" borderId="2" xfId="0" applyNumberFormat="1" applyFont="1" applyBorder="1" applyAlignment="1">
      <alignment horizontal="left"/>
    </xf>
    <xf numFmtId="1" fontId="27" fillId="0" borderId="3" xfId="0" applyNumberFormat="1" applyFont="1" applyBorder="1" applyAlignment="1">
      <alignment horizontal="left"/>
    </xf>
    <xf numFmtId="2" fontId="27" fillId="0" borderId="1" xfId="2" applyNumberFormat="1" applyFont="1" applyBorder="1" applyAlignment="1">
      <alignment horizontal="left"/>
    </xf>
    <xf numFmtId="2" fontId="27" fillId="0" borderId="3" xfId="2" applyNumberFormat="1" applyFont="1" applyBorder="1" applyAlignment="1">
      <alignment horizontal="left"/>
    </xf>
    <xf numFmtId="2" fontId="25" fillId="0" borderId="1" xfId="0" applyNumberFormat="1" applyFont="1" applyBorder="1" applyAlignment="1">
      <alignment horizontal="left"/>
    </xf>
    <xf numFmtId="2" fontId="25" fillId="0" borderId="13" xfId="0" applyNumberFormat="1" applyFont="1" applyBorder="1" applyAlignment="1">
      <alignment horizontal="left"/>
    </xf>
    <xf numFmtId="2" fontId="25" fillId="0" borderId="16" xfId="0" applyNumberFormat="1" applyFont="1" applyBorder="1" applyAlignment="1">
      <alignment horizontal="left"/>
    </xf>
    <xf numFmtId="2" fontId="25" fillId="0" borderId="2" xfId="0" applyNumberFormat="1" applyFont="1" applyBorder="1" applyAlignment="1">
      <alignment horizontal="left"/>
    </xf>
    <xf numFmtId="1" fontId="27" fillId="0" borderId="3" xfId="0" applyNumberFormat="1" applyFont="1" applyBorder="1" applyAlignment="1">
      <alignment horizontal="left" vertical="center"/>
    </xf>
    <xf numFmtId="1" fontId="27" fillId="0" borderId="13" xfId="0" applyNumberFormat="1" applyFont="1" applyBorder="1" applyAlignment="1">
      <alignment horizontal="left"/>
    </xf>
    <xf numFmtId="1" fontId="27" fillId="0" borderId="0" xfId="0" applyNumberFormat="1" applyFont="1" applyBorder="1" applyAlignment="1">
      <alignment horizontal="left"/>
    </xf>
    <xf numFmtId="1" fontId="27" fillId="0" borderId="17" xfId="0" applyNumberFormat="1" applyFont="1" applyBorder="1" applyAlignment="1">
      <alignment horizontal="left"/>
    </xf>
    <xf numFmtId="1" fontId="27" fillId="0" borderId="6" xfId="0" applyNumberFormat="1" applyFont="1" applyBorder="1" applyAlignment="1">
      <alignment horizontal="left"/>
    </xf>
    <xf numFmtId="1" fontId="27" fillId="0" borderId="3" xfId="2" applyNumberFormat="1" applyFont="1" applyBorder="1" applyAlignment="1">
      <alignment horizontal="left"/>
    </xf>
    <xf numFmtId="1" fontId="27" fillId="0" borderId="1" xfId="1" applyNumberFormat="1" applyFont="1" applyBorder="1" applyAlignment="1">
      <alignment horizontal="left"/>
    </xf>
    <xf numFmtId="1" fontId="27" fillId="0" borderId="2" xfId="1" applyNumberFormat="1" applyFont="1" applyBorder="1" applyAlignment="1">
      <alignment horizontal="left"/>
    </xf>
    <xf numFmtId="1" fontId="27" fillId="0" borderId="3" xfId="1" applyNumberFormat="1" applyFont="1" applyBorder="1" applyAlignment="1">
      <alignment horizontal="left"/>
    </xf>
    <xf numFmtId="1" fontId="25" fillId="0" borderId="1" xfId="0" applyNumberFormat="1" applyFont="1" applyBorder="1" applyAlignment="1">
      <alignment horizontal="left"/>
    </xf>
    <xf numFmtId="1" fontId="25" fillId="0" borderId="15" xfId="0" applyNumberFormat="1" applyFont="1" applyBorder="1" applyAlignment="1">
      <alignment horizontal="left"/>
    </xf>
    <xf numFmtId="1" fontId="25" fillId="0" borderId="4" xfId="0" applyNumberFormat="1" applyFont="1" applyBorder="1" applyAlignment="1">
      <alignment horizontal="left" vertical="center"/>
    </xf>
    <xf numFmtId="1" fontId="25" fillId="0" borderId="2" xfId="0" applyNumberFormat="1" applyFont="1" applyBorder="1" applyAlignment="1">
      <alignment horizontal="left"/>
    </xf>
    <xf numFmtId="1" fontId="25" fillId="0" borderId="3" xfId="0" applyNumberFormat="1" applyFont="1" applyBorder="1" applyAlignment="1">
      <alignment horizontal="left"/>
    </xf>
    <xf numFmtId="1" fontId="25" fillId="0" borderId="13" xfId="0" applyNumberFormat="1" applyFont="1" applyBorder="1" applyAlignment="1">
      <alignment horizontal="left"/>
    </xf>
    <xf numFmtId="1" fontId="21" fillId="0" borderId="0" xfId="0" applyNumberFormat="1" applyFont="1" applyAlignment="1">
      <alignment horizontal="left"/>
    </xf>
    <xf numFmtId="2" fontId="27" fillId="0" borderId="1" xfId="0" applyNumberFormat="1" applyFont="1" applyBorder="1" applyAlignment="1">
      <alignment horizontal="left" vertical="center"/>
    </xf>
    <xf numFmtId="2" fontId="27" fillId="0" borderId="4" xfId="0" applyNumberFormat="1" applyFont="1" applyBorder="1" applyAlignment="1">
      <alignment horizontal="left"/>
    </xf>
    <xf numFmtId="1" fontId="27" fillId="0" borderId="4" xfId="0" applyNumberFormat="1" applyFont="1" applyBorder="1" applyAlignment="1">
      <alignment horizontal="left"/>
    </xf>
    <xf numFmtId="1" fontId="25" fillId="0" borderId="4" xfId="0" applyNumberFormat="1" applyFont="1" applyBorder="1" applyAlignment="1">
      <alignment horizontal="left"/>
    </xf>
    <xf numFmtId="1" fontId="25" fillId="0" borderId="18" xfId="0" applyNumberFormat="1" applyFont="1" applyBorder="1" applyAlignment="1">
      <alignment horizontal="left"/>
    </xf>
    <xf numFmtId="1" fontId="25" fillId="0" borderId="16" xfId="0" applyNumberFormat="1" applyFont="1" applyBorder="1" applyAlignment="1">
      <alignment horizontal="left"/>
    </xf>
    <xf numFmtId="0" fontId="27" fillId="0" borderId="6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2" fontId="25" fillId="0" borderId="1" xfId="0" applyNumberFormat="1" applyFont="1" applyBorder="1" applyAlignment="1">
      <alignment horizontal="left" vertical="center"/>
    </xf>
    <xf numFmtId="2" fontId="25" fillId="0" borderId="4" xfId="0" applyNumberFormat="1" applyFont="1" applyBorder="1" applyAlignment="1">
      <alignment horizontal="left"/>
    </xf>
    <xf numFmtId="2" fontId="3" fillId="0" borderId="1" xfId="0" applyNumberFormat="1" applyFont="1" applyBorder="1" applyAlignment="1">
      <alignment horizontal="left"/>
    </xf>
    <xf numFmtId="2" fontId="27" fillId="0" borderId="19" xfId="0" applyNumberFormat="1" applyFont="1" applyBorder="1" applyAlignment="1">
      <alignment horizontal="left" vertical="center"/>
    </xf>
    <xf numFmtId="2" fontId="27" fillId="0" borderId="20" xfId="0" applyNumberFormat="1" applyFont="1" applyBorder="1" applyAlignment="1">
      <alignment horizontal="left"/>
    </xf>
    <xf numFmtId="2" fontId="27" fillId="0" borderId="21" xfId="0" applyNumberFormat="1" applyFont="1" applyBorder="1" applyAlignment="1">
      <alignment horizontal="left"/>
    </xf>
    <xf numFmtId="1" fontId="27" fillId="0" borderId="22" xfId="0" applyNumberFormat="1" applyFont="1" applyBorder="1" applyAlignment="1">
      <alignment horizontal="left"/>
    </xf>
    <xf numFmtId="1" fontId="27" fillId="0" borderId="20" xfId="0" applyNumberFormat="1" applyFont="1" applyBorder="1" applyAlignment="1">
      <alignment horizontal="left"/>
    </xf>
    <xf numFmtId="1" fontId="27" fillId="0" borderId="21" xfId="0" applyNumberFormat="1" applyFont="1" applyBorder="1" applyAlignment="1">
      <alignment horizontal="left"/>
    </xf>
    <xf numFmtId="2" fontId="27" fillId="0" borderId="19" xfId="0" applyNumberFormat="1" applyFont="1" applyBorder="1" applyAlignment="1">
      <alignment horizontal="left"/>
    </xf>
    <xf numFmtId="1" fontId="27" fillId="0" borderId="19" xfId="0" applyNumberFormat="1" applyFont="1" applyBorder="1" applyAlignment="1">
      <alignment horizontal="left"/>
    </xf>
    <xf numFmtId="1" fontId="27" fillId="0" borderId="23" xfId="0" applyNumberFormat="1" applyFont="1" applyBorder="1" applyAlignment="1">
      <alignment horizontal="left"/>
    </xf>
    <xf numFmtId="1" fontId="27" fillId="0" borderId="19" xfId="1" applyNumberFormat="1" applyFont="1" applyBorder="1" applyAlignment="1">
      <alignment horizontal="left"/>
    </xf>
    <xf numFmtId="1" fontId="27" fillId="0" borderId="21" xfId="1" applyNumberFormat="1" applyFont="1" applyBorder="1" applyAlignment="1">
      <alignment horizontal="left"/>
    </xf>
    <xf numFmtId="1" fontId="27" fillId="0" borderId="23" xfId="1" applyNumberFormat="1" applyFont="1" applyBorder="1" applyAlignment="1">
      <alignment horizontal="left"/>
    </xf>
    <xf numFmtId="1" fontId="25" fillId="0" borderId="19" xfId="0" applyNumberFormat="1" applyFont="1" applyBorder="1" applyAlignment="1">
      <alignment horizontal="left"/>
    </xf>
    <xf numFmtId="1" fontId="25" fillId="0" borderId="20" xfId="0" applyNumberFormat="1" applyFont="1" applyBorder="1" applyAlignment="1">
      <alignment horizontal="left"/>
    </xf>
    <xf numFmtId="1" fontId="25" fillId="0" borderId="24" xfId="0" applyNumberFormat="1" applyFont="1" applyBorder="1" applyAlignment="1">
      <alignment horizontal="left"/>
    </xf>
    <xf numFmtId="0" fontId="27" fillId="0" borderId="25" xfId="0" applyFont="1" applyBorder="1" applyAlignment="1">
      <alignment horizontal="left"/>
    </xf>
    <xf numFmtId="0" fontId="27" fillId="0" borderId="26" xfId="0" applyFont="1" applyBorder="1" applyAlignment="1">
      <alignment horizontal="left"/>
    </xf>
    <xf numFmtId="1" fontId="27" fillId="0" borderId="27" xfId="0" applyNumberFormat="1" applyFont="1" applyBorder="1" applyAlignment="1">
      <alignment horizontal="left"/>
    </xf>
    <xf numFmtId="1" fontId="27" fillId="0" borderId="26" xfId="0" applyNumberFormat="1" applyFont="1" applyBorder="1" applyAlignment="1">
      <alignment horizontal="left"/>
    </xf>
    <xf numFmtId="1" fontId="27" fillId="0" borderId="25" xfId="0" applyNumberFormat="1" applyFont="1" applyBorder="1" applyAlignment="1">
      <alignment horizontal="left"/>
    </xf>
    <xf numFmtId="1" fontId="27" fillId="0" borderId="0" xfId="0" applyNumberFormat="1" applyFont="1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horizontal="left"/>
    </xf>
    <xf numFmtId="0" fontId="16" fillId="0" borderId="0" xfId="0" applyFont="1"/>
    <xf numFmtId="0" fontId="25" fillId="0" borderId="7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1" fontId="25" fillId="0" borderId="9" xfId="0" applyNumberFormat="1" applyFont="1" applyBorder="1" applyAlignment="1">
      <alignment horizontal="left" vertical="center"/>
    </xf>
    <xf numFmtId="1" fontId="25" fillId="0" borderId="8" xfId="0" applyNumberFormat="1" applyFont="1" applyBorder="1" applyAlignment="1">
      <alignment horizontal="left" vertical="center"/>
    </xf>
    <xf numFmtId="1" fontId="25" fillId="0" borderId="5" xfId="0" applyNumberFormat="1" applyFont="1" applyBorder="1" applyAlignment="1">
      <alignment horizontal="left" vertical="center"/>
    </xf>
    <xf numFmtId="0" fontId="25" fillId="0" borderId="28" xfId="0" applyFont="1" applyBorder="1" applyAlignment="1">
      <alignment horizontal="left" vertical="center"/>
    </xf>
    <xf numFmtId="1" fontId="25" fillId="0" borderId="7" xfId="0" applyNumberFormat="1" applyFont="1" applyBorder="1" applyAlignment="1">
      <alignment horizontal="left" vertical="center"/>
    </xf>
    <xf numFmtId="1" fontId="25" fillId="0" borderId="28" xfId="0" applyNumberFormat="1" applyFont="1" applyBorder="1" applyAlignment="1">
      <alignment horizontal="left" vertical="center"/>
    </xf>
    <xf numFmtId="1" fontId="27" fillId="0" borderId="5" xfId="0" applyNumberFormat="1" applyFont="1" applyBorder="1" applyAlignment="1">
      <alignment horizontal="left"/>
    </xf>
    <xf numFmtId="1" fontId="27" fillId="0" borderId="9" xfId="0" applyNumberFormat="1" applyFont="1" applyBorder="1" applyAlignment="1">
      <alignment horizontal="left"/>
    </xf>
    <xf numFmtId="1" fontId="27" fillId="0" borderId="0" xfId="0" applyNumberFormat="1" applyFont="1"/>
    <xf numFmtId="1" fontId="26" fillId="0" borderId="13" xfId="0" applyNumberFormat="1" applyFont="1" applyBorder="1" applyAlignment="1">
      <alignment horizontal="left"/>
    </xf>
    <xf numFmtId="1" fontId="28" fillId="0" borderId="13" xfId="0" applyNumberFormat="1" applyFont="1" applyBorder="1" applyAlignment="1">
      <alignment horizontal="left"/>
    </xf>
    <xf numFmtId="1" fontId="26" fillId="0" borderId="29" xfId="0" applyNumberFormat="1" applyFont="1" applyBorder="1" applyAlignment="1">
      <alignment horizontal="left"/>
    </xf>
    <xf numFmtId="1" fontId="22" fillId="0" borderId="1" xfId="0" applyNumberFormat="1" applyFont="1" applyBorder="1" applyAlignment="1">
      <alignment horizontal="left" vertical="center"/>
    </xf>
    <xf numFmtId="1" fontId="22" fillId="0" borderId="3" xfId="0" applyNumberFormat="1" applyFont="1" applyBorder="1" applyAlignment="1">
      <alignment horizontal="left" vertical="center"/>
    </xf>
    <xf numFmtId="1" fontId="22" fillId="0" borderId="4" xfId="0" applyNumberFormat="1" applyFont="1" applyBorder="1" applyAlignment="1">
      <alignment horizontal="left"/>
    </xf>
    <xf numFmtId="1" fontId="28" fillId="0" borderId="2" xfId="0" applyNumberFormat="1" applyFont="1" applyBorder="1" applyAlignment="1">
      <alignment horizontal="left"/>
    </xf>
    <xf numFmtId="1" fontId="22" fillId="0" borderId="1" xfId="1" applyNumberFormat="1" applyFont="1" applyBorder="1" applyAlignment="1">
      <alignment horizontal="left"/>
    </xf>
    <xf numFmtId="1" fontId="22" fillId="0" borderId="1" xfId="0" applyNumberFormat="1" applyFont="1" applyBorder="1" applyAlignment="1">
      <alignment horizontal="left"/>
    </xf>
    <xf numFmtId="1" fontId="23" fillId="0" borderId="1" xfId="0" applyNumberFormat="1" applyFont="1" applyBorder="1" applyAlignment="1">
      <alignment horizontal="left" vertical="center"/>
    </xf>
    <xf numFmtId="1" fontId="23" fillId="0" borderId="3" xfId="0" applyNumberFormat="1" applyFont="1" applyBorder="1" applyAlignment="1">
      <alignment horizontal="left" vertical="center"/>
    </xf>
    <xf numFmtId="1" fontId="23" fillId="0" borderId="1" xfId="0" applyNumberFormat="1" applyFont="1" applyBorder="1" applyAlignment="1">
      <alignment horizontal="left"/>
    </xf>
    <xf numFmtId="1" fontId="26" fillId="0" borderId="30" xfId="0" applyNumberFormat="1" applyFont="1" applyBorder="1" applyAlignment="1">
      <alignment horizontal="left"/>
    </xf>
    <xf numFmtId="1" fontId="22" fillId="0" borderId="19" xfId="0" applyNumberFormat="1" applyFont="1" applyBorder="1" applyAlignment="1">
      <alignment horizontal="left" vertical="center"/>
    </xf>
    <xf numFmtId="1" fontId="22" fillId="0" borderId="20" xfId="0" applyNumberFormat="1" applyFont="1" applyBorder="1" applyAlignment="1">
      <alignment horizontal="left"/>
    </xf>
    <xf numFmtId="1" fontId="18" fillId="0" borderId="9" xfId="0" applyNumberFormat="1" applyFont="1" applyBorder="1" applyAlignment="1">
      <alignment horizontal="left"/>
    </xf>
    <xf numFmtId="1" fontId="17" fillId="0" borderId="13" xfId="0" applyNumberFormat="1" applyFont="1" applyBorder="1" applyAlignment="1">
      <alignment horizontal="left" vertical="center"/>
    </xf>
    <xf numFmtId="1" fontId="17" fillId="0" borderId="18" xfId="0" applyNumberFormat="1" applyFont="1" applyBorder="1" applyAlignment="1">
      <alignment horizontal="left" vertical="center"/>
    </xf>
    <xf numFmtId="1" fontId="17" fillId="0" borderId="1" xfId="1" applyNumberFormat="1" applyFont="1" applyBorder="1" applyAlignment="1">
      <alignment horizontal="left"/>
    </xf>
    <xf numFmtId="2" fontId="17" fillId="0" borderId="13" xfId="0" applyNumberFormat="1" applyFont="1" applyBorder="1" applyAlignment="1">
      <alignment horizontal="left"/>
    </xf>
    <xf numFmtId="2" fontId="17" fillId="0" borderId="1" xfId="2" applyNumberFormat="1" applyFont="1" applyBorder="1" applyAlignment="1">
      <alignment horizontal="left"/>
    </xf>
    <xf numFmtId="2" fontId="17" fillId="0" borderId="18" xfId="0" applyNumberFormat="1" applyFont="1" applyBorder="1" applyAlignment="1">
      <alignment horizontal="left" vertical="center"/>
    </xf>
    <xf numFmtId="1" fontId="17" fillId="0" borderId="0" xfId="0" applyNumberFormat="1" applyFont="1" applyFill="1" applyAlignment="1">
      <alignment horizontal="left"/>
    </xf>
    <xf numFmtId="1" fontId="17" fillId="0" borderId="0" xfId="0" applyNumberFormat="1" applyFont="1"/>
    <xf numFmtId="1" fontId="17" fillId="0" borderId="31" xfId="0" applyNumberFormat="1" applyFont="1" applyBorder="1" applyAlignment="1">
      <alignment horizontal="left"/>
    </xf>
    <xf numFmtId="0" fontId="25" fillId="0" borderId="32" xfId="0" applyFont="1" applyBorder="1" applyAlignment="1">
      <alignment horizontal="left" vertical="center"/>
    </xf>
    <xf numFmtId="0" fontId="25" fillId="0" borderId="33" xfId="0" applyFont="1" applyBorder="1" applyAlignment="1">
      <alignment horizontal="left" vertical="center"/>
    </xf>
    <xf numFmtId="0" fontId="25" fillId="0" borderId="34" xfId="0" applyFont="1" applyBorder="1" applyAlignment="1">
      <alignment horizontal="left" vertical="center"/>
    </xf>
    <xf numFmtId="1" fontId="26" fillId="0" borderId="32" xfId="0" applyNumberFormat="1" applyFont="1" applyBorder="1" applyAlignment="1">
      <alignment horizontal="left"/>
    </xf>
    <xf numFmtId="1" fontId="26" fillId="0" borderId="34" xfId="0" applyNumberFormat="1" applyFont="1" applyBorder="1" applyAlignment="1">
      <alignment horizontal="left"/>
    </xf>
    <xf numFmtId="1" fontId="26" fillId="0" borderId="1" xfId="0" applyNumberFormat="1" applyFont="1" applyBorder="1" applyAlignment="1">
      <alignment horizontal="left"/>
    </xf>
    <xf numFmtId="1" fontId="26" fillId="0" borderId="3" xfId="0" applyNumberFormat="1" applyFont="1" applyBorder="1" applyAlignment="1">
      <alignment horizontal="left"/>
    </xf>
    <xf numFmtId="1" fontId="27" fillId="0" borderId="12" xfId="0" applyNumberFormat="1" applyFont="1" applyBorder="1" applyAlignment="1">
      <alignment horizontal="left"/>
    </xf>
    <xf numFmtId="1" fontId="27" fillId="0" borderId="31" xfId="0" applyNumberFormat="1" applyFont="1" applyBorder="1" applyAlignment="1">
      <alignment horizontal="left"/>
    </xf>
    <xf numFmtId="0" fontId="27" fillId="0" borderId="35" xfId="0" applyFont="1" applyBorder="1" applyAlignment="1">
      <alignment horizontal="left"/>
    </xf>
    <xf numFmtId="0" fontId="27" fillId="0" borderId="36" xfId="0" applyFont="1" applyBorder="1" applyAlignment="1">
      <alignment horizontal="left"/>
    </xf>
    <xf numFmtId="0" fontId="26" fillId="0" borderId="37" xfId="0" applyFont="1" applyBorder="1" applyAlignment="1">
      <alignment horizontal="left"/>
    </xf>
    <xf numFmtId="2" fontId="23" fillId="0" borderId="15" xfId="0" applyNumberFormat="1" applyFont="1" applyBorder="1" applyAlignment="1">
      <alignment horizontal="left"/>
    </xf>
    <xf numFmtId="0" fontId="26" fillId="0" borderId="38" xfId="0" applyFont="1" applyBorder="1" applyAlignment="1">
      <alignment horizontal="left"/>
    </xf>
    <xf numFmtId="2" fontId="22" fillId="0" borderId="19" xfId="0" applyNumberFormat="1" applyFont="1" applyBorder="1" applyAlignment="1">
      <alignment horizontal="left"/>
    </xf>
    <xf numFmtId="2" fontId="22" fillId="0" borderId="21" xfId="0" applyNumberFormat="1" applyFont="1" applyBorder="1" applyAlignment="1">
      <alignment horizontal="left"/>
    </xf>
    <xf numFmtId="2" fontId="22" fillId="0" borderId="23" xfId="0" applyNumberFormat="1" applyFont="1" applyBorder="1" applyAlignment="1">
      <alignment horizontal="left"/>
    </xf>
    <xf numFmtId="2" fontId="22" fillId="0" borderId="22" xfId="0" applyNumberFormat="1" applyFont="1" applyBorder="1" applyAlignment="1">
      <alignment horizontal="left"/>
    </xf>
    <xf numFmtId="2" fontId="22" fillId="0" borderId="20" xfId="0" applyNumberFormat="1" applyFont="1" applyBorder="1" applyAlignment="1">
      <alignment horizontal="left"/>
    </xf>
    <xf numFmtId="2" fontId="22" fillId="0" borderId="19" xfId="0" applyNumberFormat="1" applyFont="1" applyFill="1" applyBorder="1" applyAlignment="1">
      <alignment horizontal="left"/>
    </xf>
    <xf numFmtId="2" fontId="22" fillId="0" borderId="19" xfId="1" applyNumberFormat="1" applyFont="1" applyBorder="1" applyAlignment="1">
      <alignment horizontal="left"/>
    </xf>
    <xf numFmtId="2" fontId="23" fillId="0" borderId="19" xfId="0" applyNumberFormat="1" applyFont="1" applyBorder="1" applyAlignment="1">
      <alignment horizontal="left"/>
    </xf>
    <xf numFmtId="2" fontId="23" fillId="0" borderId="38" xfId="0" applyNumberFormat="1" applyFont="1" applyBorder="1" applyAlignment="1">
      <alignment horizontal="left"/>
    </xf>
    <xf numFmtId="2" fontId="22" fillId="0" borderId="39" xfId="0" applyNumberFormat="1" applyFont="1" applyBorder="1" applyAlignment="1">
      <alignment horizontal="left"/>
    </xf>
    <xf numFmtId="2" fontId="22" fillId="0" borderId="40" xfId="0" applyNumberFormat="1" applyFont="1" applyBorder="1" applyAlignment="1">
      <alignment horizontal="left"/>
    </xf>
    <xf numFmtId="2" fontId="22" fillId="0" borderId="41" xfId="0" applyNumberFormat="1" applyFont="1" applyBorder="1" applyAlignment="1">
      <alignment horizontal="left"/>
    </xf>
    <xf numFmtId="2" fontId="22" fillId="0" borderId="42" xfId="0" applyNumberFormat="1" applyFont="1" applyBorder="1" applyAlignment="1">
      <alignment horizontal="left"/>
    </xf>
    <xf numFmtId="2" fontId="22" fillId="0" borderId="43" xfId="0" applyNumberFormat="1" applyFont="1" applyBorder="1" applyAlignment="1">
      <alignment horizontal="left"/>
    </xf>
    <xf numFmtId="2" fontId="22" fillId="0" borderId="39" xfId="0" applyNumberFormat="1" applyFont="1" applyFill="1" applyBorder="1" applyAlignment="1">
      <alignment horizontal="left"/>
    </xf>
    <xf numFmtId="2" fontId="22" fillId="0" borderId="39" xfId="1" applyNumberFormat="1" applyFont="1" applyBorder="1" applyAlignment="1">
      <alignment horizontal="left"/>
    </xf>
    <xf numFmtId="2" fontId="23" fillId="0" borderId="39" xfId="0" applyNumberFormat="1" applyFont="1" applyBorder="1" applyAlignment="1">
      <alignment horizontal="left"/>
    </xf>
    <xf numFmtId="2" fontId="23" fillId="0" borderId="44" xfId="0" applyNumberFormat="1" applyFont="1" applyBorder="1" applyAlignment="1">
      <alignment horizontal="left"/>
    </xf>
    <xf numFmtId="2" fontId="17" fillId="0" borderId="19" xfId="0" applyNumberFormat="1" applyFont="1" applyBorder="1" applyAlignment="1">
      <alignment horizontal="left"/>
    </xf>
    <xf numFmtId="0" fontId="17" fillId="0" borderId="22" xfId="0" applyFont="1" applyBorder="1" applyAlignment="1">
      <alignment horizontal="left"/>
    </xf>
    <xf numFmtId="2" fontId="17" fillId="0" borderId="20" xfId="0" applyNumberFormat="1" applyFont="1" applyBorder="1" applyAlignment="1">
      <alignment horizontal="left"/>
    </xf>
    <xf numFmtId="2" fontId="17" fillId="0" borderId="21" xfId="0" applyNumberFormat="1" applyFont="1" applyBorder="1" applyAlignment="1">
      <alignment horizontal="left"/>
    </xf>
    <xf numFmtId="2" fontId="17" fillId="0" borderId="22" xfId="0" applyNumberFormat="1" applyFont="1" applyBorder="1" applyAlignment="1">
      <alignment horizontal="left"/>
    </xf>
    <xf numFmtId="0" fontId="27" fillId="0" borderId="44" xfId="0" applyFont="1" applyBorder="1" applyAlignment="1">
      <alignment horizontal="left"/>
    </xf>
    <xf numFmtId="2" fontId="18" fillId="0" borderId="39" xfId="0" applyNumberFormat="1" applyFont="1" applyBorder="1" applyAlignment="1">
      <alignment horizontal="left"/>
    </xf>
    <xf numFmtId="0" fontId="18" fillId="0" borderId="42" xfId="0" applyFont="1" applyBorder="1" applyAlignment="1">
      <alignment horizontal="left"/>
    </xf>
    <xf numFmtId="2" fontId="18" fillId="0" borderId="40" xfId="0" applyNumberFormat="1" applyFont="1" applyBorder="1" applyAlignment="1">
      <alignment horizontal="left"/>
    </xf>
    <xf numFmtId="2" fontId="18" fillId="0" borderId="42" xfId="0" applyNumberFormat="1" applyFont="1" applyBorder="1" applyAlignment="1">
      <alignment horizontal="left"/>
    </xf>
    <xf numFmtId="1" fontId="19" fillId="0" borderId="15" xfId="0" applyNumberFormat="1" applyFont="1" applyFill="1" applyBorder="1" applyAlignment="1">
      <alignment horizontal="left" vertical="top" wrapText="1"/>
    </xf>
    <xf numFmtId="1" fontId="4" fillId="0" borderId="15" xfId="0" applyNumberFormat="1" applyFont="1" applyFill="1" applyBorder="1" applyAlignment="1">
      <alignment horizontal="left" vertical="top" wrapText="1"/>
    </xf>
    <xf numFmtId="1" fontId="4" fillId="0" borderId="45" xfId="0" applyNumberFormat="1" applyFont="1" applyFill="1" applyBorder="1" applyAlignment="1">
      <alignment horizontal="left" vertical="top" wrapText="1"/>
    </xf>
    <xf numFmtId="1" fontId="17" fillId="0" borderId="1" xfId="0" applyNumberFormat="1" applyFont="1" applyFill="1" applyBorder="1" applyAlignment="1">
      <alignment horizontal="left" wrapText="1"/>
    </xf>
    <xf numFmtId="1" fontId="17" fillId="0" borderId="1" xfId="0" applyNumberFormat="1" applyFont="1" applyFill="1" applyBorder="1" applyAlignment="1">
      <alignment horizontal="left" vertical="top" shrinkToFit="1"/>
    </xf>
    <xf numFmtId="1" fontId="17" fillId="0" borderId="1" xfId="0" applyNumberFormat="1" applyFont="1" applyFill="1" applyBorder="1" applyAlignment="1">
      <alignment horizontal="left" vertical="top" wrapText="1"/>
    </xf>
    <xf numFmtId="1" fontId="17" fillId="0" borderId="0" xfId="0" applyNumberFormat="1" applyFont="1" applyBorder="1" applyAlignment="1">
      <alignment horizontal="left"/>
    </xf>
    <xf numFmtId="2" fontId="18" fillId="0" borderId="32" xfId="0" applyNumberFormat="1" applyFont="1" applyBorder="1" applyAlignment="1">
      <alignment horizontal="left"/>
    </xf>
    <xf numFmtId="2" fontId="18" fillId="0" borderId="33" xfId="0" applyNumberFormat="1" applyFont="1" applyBorder="1" applyAlignment="1">
      <alignment horizontal="left"/>
    </xf>
    <xf numFmtId="2" fontId="17" fillId="0" borderId="33" xfId="0" applyNumberFormat="1" applyFont="1" applyBorder="1" applyAlignment="1">
      <alignment horizontal="left"/>
    </xf>
    <xf numFmtId="2" fontId="17" fillId="0" borderId="34" xfId="0" applyNumberFormat="1" applyFont="1" applyBorder="1" applyAlignment="1">
      <alignment horizontal="left"/>
    </xf>
    <xf numFmtId="2" fontId="17" fillId="0" borderId="1" xfId="1" applyNumberFormat="1" applyFont="1" applyBorder="1" applyAlignment="1">
      <alignment horizontal="left"/>
    </xf>
    <xf numFmtId="2" fontId="17" fillId="0" borderId="12" xfId="1" applyNumberFormat="1" applyFont="1" applyBorder="1" applyAlignment="1">
      <alignment horizontal="left"/>
    </xf>
    <xf numFmtId="2" fontId="18" fillId="0" borderId="7" xfId="0" applyNumberFormat="1" applyFont="1" applyBorder="1" applyAlignment="1">
      <alignment horizontal="left" vertical="center"/>
    </xf>
    <xf numFmtId="2" fontId="18" fillId="0" borderId="9" xfId="0" applyNumberFormat="1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28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1" fontId="18" fillId="0" borderId="16" xfId="0" applyNumberFormat="1" applyFont="1" applyBorder="1" applyAlignment="1">
      <alignment horizontal="left" vertical="center"/>
    </xf>
    <xf numFmtId="1" fontId="17" fillId="0" borderId="6" xfId="0" applyNumberFormat="1" applyFont="1" applyBorder="1" applyAlignment="1">
      <alignment horizontal="left"/>
    </xf>
    <xf numFmtId="2" fontId="17" fillId="0" borderId="1" xfId="0" applyNumberFormat="1" applyFont="1" applyBorder="1" applyAlignment="1">
      <alignment horizontal="left" vertical="center"/>
    </xf>
    <xf numFmtId="1" fontId="18" fillId="0" borderId="12" xfId="0" applyNumberFormat="1" applyFont="1" applyBorder="1" applyAlignment="1">
      <alignment horizontal="left" vertical="center"/>
    </xf>
    <xf numFmtId="1" fontId="18" fillId="0" borderId="46" xfId="0" applyNumberFormat="1" applyFont="1" applyBorder="1" applyAlignment="1">
      <alignment horizontal="left" vertical="center"/>
    </xf>
    <xf numFmtId="2" fontId="19" fillId="0" borderId="37" xfId="0" applyNumberFormat="1" applyFont="1" applyFill="1" applyBorder="1" applyAlignment="1">
      <alignment horizontal="left" vertical="center" wrapText="1"/>
    </xf>
    <xf numFmtId="2" fontId="17" fillId="0" borderId="47" xfId="0" applyNumberFormat="1" applyFont="1" applyBorder="1" applyAlignment="1">
      <alignment horizontal="left"/>
    </xf>
    <xf numFmtId="2" fontId="17" fillId="0" borderId="32" xfId="0" applyNumberFormat="1" applyFont="1" applyFill="1" applyBorder="1" applyAlignment="1">
      <alignment horizontal="left" vertical="center" wrapText="1"/>
    </xf>
    <xf numFmtId="2" fontId="17" fillId="0" borderId="32" xfId="0" applyNumberFormat="1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1" fontId="18" fillId="0" borderId="7" xfId="0" applyNumberFormat="1" applyFont="1" applyBorder="1" applyAlignment="1">
      <alignment horizontal="left"/>
    </xf>
    <xf numFmtId="1" fontId="17" fillId="0" borderId="7" xfId="1" applyNumberFormat="1" applyFont="1" applyBorder="1" applyAlignment="1">
      <alignment horizontal="left"/>
    </xf>
    <xf numFmtId="3" fontId="19" fillId="0" borderId="47" xfId="0" applyNumberFormat="1" applyFont="1" applyBorder="1" applyAlignment="1">
      <alignment horizontal="left"/>
    </xf>
    <xf numFmtId="172" fontId="19" fillId="0" borderId="4" xfId="0" applyNumberFormat="1" applyFont="1" applyBorder="1" applyAlignment="1">
      <alignment horizontal="left"/>
    </xf>
    <xf numFmtId="2" fontId="17" fillId="0" borderId="32" xfId="0" applyNumberFormat="1" applyFont="1" applyBorder="1" applyAlignment="1">
      <alignment horizontal="left" wrapText="1"/>
    </xf>
    <xf numFmtId="1" fontId="24" fillId="0" borderId="14" xfId="0" applyNumberFormat="1" applyFont="1" applyBorder="1" applyAlignment="1">
      <alignment horizontal="left"/>
    </xf>
    <xf numFmtId="1" fontId="17" fillId="0" borderId="29" xfId="0" applyNumberFormat="1" applyFont="1" applyFill="1" applyBorder="1" applyAlignment="1">
      <alignment horizontal="left"/>
    </xf>
    <xf numFmtId="1" fontId="17" fillId="0" borderId="30" xfId="0" applyNumberFormat="1" applyFont="1" applyFill="1" applyBorder="1" applyAlignment="1">
      <alignment horizontal="left"/>
    </xf>
    <xf numFmtId="1" fontId="22" fillId="0" borderId="1" xfId="2" applyNumberFormat="1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2" fontId="22" fillId="0" borderId="7" xfId="0" applyNumberFormat="1" applyFont="1" applyBorder="1" applyAlignment="1">
      <alignment horizontal="left"/>
    </xf>
    <xf numFmtId="2" fontId="22" fillId="0" borderId="5" xfId="0" applyNumberFormat="1" applyFont="1" applyBorder="1" applyAlignment="1">
      <alignment horizontal="left"/>
    </xf>
    <xf numFmtId="2" fontId="22" fillId="0" borderId="28" xfId="0" applyNumberFormat="1" applyFont="1" applyBorder="1" applyAlignment="1">
      <alignment horizontal="left"/>
    </xf>
    <xf numFmtId="2" fontId="22" fillId="0" borderId="9" xfId="0" applyNumberFormat="1" applyFont="1" applyBorder="1" applyAlignment="1">
      <alignment horizontal="left"/>
    </xf>
    <xf numFmtId="2" fontId="22" fillId="0" borderId="8" xfId="0" applyNumberFormat="1" applyFont="1" applyBorder="1" applyAlignment="1">
      <alignment horizontal="left"/>
    </xf>
    <xf numFmtId="2" fontId="22" fillId="0" borderId="7" xfId="0" applyNumberFormat="1" applyFont="1" applyFill="1" applyBorder="1" applyAlignment="1">
      <alignment horizontal="left"/>
    </xf>
    <xf numFmtId="2" fontId="22" fillId="0" borderId="7" xfId="1" applyNumberFormat="1" applyFont="1" applyBorder="1" applyAlignment="1">
      <alignment horizontal="left"/>
    </xf>
    <xf numFmtId="2" fontId="23" fillId="0" borderId="7" xfId="0" applyNumberFormat="1" applyFont="1" applyBorder="1" applyAlignment="1">
      <alignment horizontal="left"/>
    </xf>
    <xf numFmtId="2" fontId="23" fillId="0" borderId="48" xfId="0" applyNumberFormat="1" applyFont="1" applyBorder="1" applyAlignment="1">
      <alignment horizontal="left"/>
    </xf>
    <xf numFmtId="0" fontId="27" fillId="0" borderId="39" xfId="0" applyFont="1" applyBorder="1" applyAlignment="1">
      <alignment horizontal="left"/>
    </xf>
    <xf numFmtId="0" fontId="27" fillId="0" borderId="49" xfId="0" applyFont="1" applyBorder="1" applyAlignment="1">
      <alignment horizontal="left"/>
    </xf>
    <xf numFmtId="1" fontId="25" fillId="0" borderId="50" xfId="0" applyNumberFormat="1" applyFont="1" applyBorder="1" applyAlignment="1">
      <alignment horizontal="left"/>
    </xf>
    <xf numFmtId="1" fontId="27" fillId="0" borderId="22" xfId="1" applyNumberFormat="1" applyFont="1" applyBorder="1" applyAlignment="1">
      <alignment horizontal="left"/>
    </xf>
    <xf numFmtId="0" fontId="27" fillId="0" borderId="15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5" fillId="0" borderId="15" xfId="0" applyFont="1" applyBorder="1" applyAlignment="1">
      <alignment horizontal="left"/>
    </xf>
    <xf numFmtId="1" fontId="26" fillId="0" borderId="28" xfId="0" applyNumberFormat="1" applyFont="1" applyBorder="1" applyAlignment="1">
      <alignment horizontal="left"/>
    </xf>
    <xf numFmtId="0" fontId="26" fillId="0" borderId="48" xfId="0" applyFont="1" applyBorder="1" applyAlignment="1">
      <alignment horizontal="left"/>
    </xf>
    <xf numFmtId="0" fontId="27" fillId="0" borderId="9" xfId="0" applyFont="1" applyBorder="1" applyAlignment="1">
      <alignment horizontal="left"/>
    </xf>
    <xf numFmtId="1" fontId="27" fillId="0" borderId="1" xfId="0" applyNumberFormat="1" applyFont="1" applyBorder="1" applyAlignment="1">
      <alignment horizontal="left" vertical="center"/>
    </xf>
    <xf numFmtId="1" fontId="27" fillId="0" borderId="4" xfId="1" applyNumberFormat="1" applyFont="1" applyBorder="1" applyAlignment="1">
      <alignment horizontal="left"/>
    </xf>
    <xf numFmtId="1" fontId="17" fillId="0" borderId="13" xfId="0" applyNumberFormat="1" applyFont="1" applyFill="1" applyBorder="1" applyAlignment="1">
      <alignment horizontal="left"/>
    </xf>
    <xf numFmtId="0" fontId="29" fillId="0" borderId="14" xfId="0" applyFont="1" applyBorder="1" applyAlignment="1">
      <alignment horizontal="left"/>
    </xf>
    <xf numFmtId="0" fontId="30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2" fontId="29" fillId="0" borderId="1" xfId="0" applyNumberFormat="1" applyFont="1" applyBorder="1" applyAlignment="1">
      <alignment horizontal="left" vertical="center"/>
    </xf>
    <xf numFmtId="2" fontId="29" fillId="0" borderId="4" xfId="0" applyNumberFormat="1" applyFont="1" applyBorder="1" applyAlignment="1">
      <alignment horizontal="left" vertical="center"/>
    </xf>
    <xf numFmtId="2" fontId="29" fillId="0" borderId="16" xfId="0" applyNumberFormat="1" applyFont="1" applyBorder="1" applyAlignment="1">
      <alignment horizontal="left" vertical="center"/>
    </xf>
    <xf numFmtId="2" fontId="29" fillId="0" borderId="18" xfId="0" applyNumberFormat="1" applyFont="1" applyBorder="1" applyAlignment="1">
      <alignment horizontal="left" vertical="center"/>
    </xf>
    <xf numFmtId="2" fontId="29" fillId="0" borderId="2" xfId="0" applyNumberFormat="1" applyFont="1" applyBorder="1" applyAlignment="1">
      <alignment horizontal="left" vertical="center"/>
    </xf>
    <xf numFmtId="2" fontId="29" fillId="0" borderId="13" xfId="0" applyNumberFormat="1" applyFont="1" applyBorder="1" applyAlignment="1">
      <alignment horizontal="left" vertical="center"/>
    </xf>
    <xf numFmtId="2" fontId="29" fillId="0" borderId="3" xfId="0" applyNumberFormat="1" applyFont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1" fillId="0" borderId="44" xfId="0" applyFont="1" applyBorder="1" applyAlignment="1">
      <alignment horizontal="left"/>
    </xf>
    <xf numFmtId="2" fontId="29" fillId="0" borderId="43" xfId="0" applyNumberFormat="1" applyFont="1" applyBorder="1" applyAlignment="1">
      <alignment horizontal="left" vertical="center"/>
    </xf>
    <xf numFmtId="2" fontId="29" fillId="0" borderId="51" xfId="0" applyNumberFormat="1" applyFont="1" applyBorder="1" applyAlignment="1">
      <alignment horizontal="left" vertical="center"/>
    </xf>
    <xf numFmtId="2" fontId="29" fillId="0" borderId="39" xfId="0" applyNumberFormat="1" applyFont="1" applyBorder="1" applyAlignment="1">
      <alignment horizontal="left" vertical="center"/>
    </xf>
    <xf numFmtId="2" fontId="29" fillId="0" borderId="52" xfId="0" applyNumberFormat="1" applyFont="1" applyBorder="1" applyAlignment="1">
      <alignment horizontal="left" vertical="center"/>
    </xf>
    <xf numFmtId="2" fontId="33" fillId="0" borderId="39" xfId="1" applyNumberFormat="1" applyFont="1" applyBorder="1" applyAlignment="1">
      <alignment horizontal="left"/>
    </xf>
    <xf numFmtId="2" fontId="33" fillId="0" borderId="39" xfId="0" applyNumberFormat="1" applyFont="1" applyBorder="1" applyAlignment="1">
      <alignment horizontal="left"/>
    </xf>
    <xf numFmtId="2" fontId="33" fillId="0" borderId="44" xfId="0" applyNumberFormat="1" applyFont="1" applyBorder="1" applyAlignment="1">
      <alignment horizontal="left"/>
    </xf>
    <xf numFmtId="0" fontId="34" fillId="0" borderId="0" xfId="0" applyFont="1" applyAlignment="1">
      <alignment horizontal="left"/>
    </xf>
    <xf numFmtId="0" fontId="31" fillId="0" borderId="53" xfId="0" applyFont="1" applyBorder="1" applyAlignment="1">
      <alignment horizontal="left"/>
    </xf>
    <xf numFmtId="2" fontId="29" fillId="0" borderId="54" xfId="0" applyNumberFormat="1" applyFont="1" applyBorder="1" applyAlignment="1">
      <alignment horizontal="left" vertical="center"/>
    </xf>
    <xf numFmtId="2" fontId="29" fillId="0" borderId="55" xfId="0" applyNumberFormat="1" applyFont="1" applyBorder="1" applyAlignment="1">
      <alignment horizontal="left" vertical="center"/>
    </xf>
    <xf numFmtId="2" fontId="29" fillId="0" borderId="56" xfId="0" applyNumberFormat="1" applyFont="1" applyBorder="1" applyAlignment="1">
      <alignment horizontal="left" vertical="center"/>
    </xf>
    <xf numFmtId="2" fontId="29" fillId="0" borderId="57" xfId="0" applyNumberFormat="1" applyFont="1" applyBorder="1" applyAlignment="1">
      <alignment horizontal="left" vertical="center"/>
    </xf>
    <xf numFmtId="2" fontId="33" fillId="0" borderId="56" xfId="0" applyNumberFormat="1" applyFont="1" applyBorder="1" applyAlignment="1">
      <alignment horizontal="left"/>
    </xf>
    <xf numFmtId="2" fontId="33" fillId="0" borderId="53" xfId="0" applyNumberFormat="1" applyFont="1" applyBorder="1" applyAlignment="1">
      <alignment horizontal="left"/>
    </xf>
    <xf numFmtId="0" fontId="17" fillId="0" borderId="0" xfId="0" applyFont="1"/>
    <xf numFmtId="0" fontId="19" fillId="0" borderId="15" xfId="0" applyFont="1" applyBorder="1" applyAlignment="1">
      <alignment horizontal="left"/>
    </xf>
    <xf numFmtId="0" fontId="21" fillId="0" borderId="58" xfId="0" applyFont="1" applyBorder="1"/>
    <xf numFmtId="0" fontId="21" fillId="0" borderId="16" xfId="0" applyFont="1" applyBorder="1"/>
    <xf numFmtId="0" fontId="21" fillId="0" borderId="34" xfId="0" applyFont="1" applyBorder="1"/>
    <xf numFmtId="0" fontId="21" fillId="0" borderId="3" xfId="0" applyFont="1" applyBorder="1"/>
    <xf numFmtId="0" fontId="19" fillId="0" borderId="37" xfId="0" applyFont="1" applyBorder="1" applyAlignment="1">
      <alignment horizontal="left"/>
    </xf>
    <xf numFmtId="0" fontId="21" fillId="0" borderId="59" xfId="0" applyFont="1" applyBorder="1"/>
    <xf numFmtId="0" fontId="21" fillId="0" borderId="18" xfId="0" applyFont="1" applyBorder="1"/>
    <xf numFmtId="0" fontId="21" fillId="0" borderId="37" xfId="0" applyFont="1" applyBorder="1"/>
    <xf numFmtId="0" fontId="21" fillId="0" borderId="15" xfId="0" applyFont="1" applyBorder="1"/>
    <xf numFmtId="0" fontId="21" fillId="0" borderId="47" xfId="0" applyFont="1" applyBorder="1"/>
    <xf numFmtId="0" fontId="21" fillId="0" borderId="4" xfId="0" applyFont="1" applyBorder="1"/>
    <xf numFmtId="0" fontId="22" fillId="0" borderId="0" xfId="0" applyFont="1"/>
    <xf numFmtId="0" fontId="35" fillId="0" borderId="0" xfId="0" applyFont="1" applyAlignment="1">
      <alignment horizontal="left"/>
    </xf>
    <xf numFmtId="2" fontId="22" fillId="0" borderId="15" xfId="0" applyNumberFormat="1" applyFont="1" applyBorder="1" applyAlignment="1">
      <alignment vertical="center"/>
    </xf>
    <xf numFmtId="2" fontId="23" fillId="0" borderId="15" xfId="0" applyNumberFormat="1" applyFont="1" applyBorder="1" applyAlignment="1">
      <alignment vertical="center"/>
    </xf>
    <xf numFmtId="2" fontId="22" fillId="0" borderId="16" xfId="0" applyNumberFormat="1" applyFont="1" applyBorder="1" applyAlignment="1">
      <alignment horizontal="right"/>
    </xf>
    <xf numFmtId="2" fontId="23" fillId="0" borderId="16" xfId="0" applyNumberFormat="1" applyFont="1" applyBorder="1" applyAlignment="1">
      <alignment horizontal="right"/>
    </xf>
    <xf numFmtId="0" fontId="28" fillId="0" borderId="29" xfId="0" applyFont="1" applyBorder="1" applyAlignment="1">
      <alignment horizontal="left"/>
    </xf>
    <xf numFmtId="0" fontId="28" fillId="0" borderId="60" xfId="0" applyFont="1" applyBorder="1" applyAlignment="1">
      <alignment horizontal="left"/>
    </xf>
    <xf numFmtId="0" fontId="23" fillId="0" borderId="48" xfId="0" applyFont="1" applyBorder="1" applyAlignment="1">
      <alignment vertical="center"/>
    </xf>
    <xf numFmtId="0" fontId="23" fillId="0" borderId="10" xfId="0" applyFont="1" applyBorder="1" applyAlignment="1">
      <alignment horizontal="center" vertical="center"/>
    </xf>
    <xf numFmtId="0" fontId="21" fillId="0" borderId="60" xfId="0" applyFont="1" applyBorder="1"/>
    <xf numFmtId="0" fontId="21" fillId="0" borderId="29" xfId="0" applyFont="1" applyBorder="1"/>
    <xf numFmtId="0" fontId="23" fillId="0" borderId="48" xfId="0" applyFont="1" applyBorder="1" applyAlignment="1">
      <alignment horizontal="center" vertical="center"/>
    </xf>
    <xf numFmtId="2" fontId="22" fillId="0" borderId="15" xfId="0" applyNumberFormat="1" applyFont="1" applyBorder="1" applyAlignment="1">
      <alignment horizontal="right"/>
    </xf>
    <xf numFmtId="2" fontId="23" fillId="0" borderId="15" xfId="0" applyNumberFormat="1" applyFont="1" applyBorder="1" applyAlignment="1">
      <alignment horizontal="right"/>
    </xf>
    <xf numFmtId="0" fontId="18" fillId="0" borderId="10" xfId="0" applyFont="1" applyBorder="1" applyAlignment="1">
      <alignment horizontal="center" vertical="center"/>
    </xf>
    <xf numFmtId="2" fontId="17" fillId="0" borderId="16" xfId="0" applyNumberFormat="1" applyFont="1" applyBorder="1" applyAlignment="1">
      <alignment horizontal="right"/>
    </xf>
    <xf numFmtId="2" fontId="18" fillId="0" borderId="16" xfId="0" applyNumberFormat="1" applyFont="1" applyBorder="1" applyAlignment="1">
      <alignment horizontal="right"/>
    </xf>
    <xf numFmtId="0" fontId="17" fillId="0" borderId="17" xfId="0" applyFont="1" applyBorder="1" applyAlignment="1">
      <alignment horizontal="left"/>
    </xf>
    <xf numFmtId="2" fontId="17" fillId="0" borderId="16" xfId="0" applyNumberFormat="1" applyFont="1" applyBorder="1" applyAlignment="1">
      <alignment horizontal="left"/>
    </xf>
    <xf numFmtId="2" fontId="18" fillId="0" borderId="16" xfId="0" applyNumberFormat="1" applyFont="1" applyBorder="1" applyAlignment="1">
      <alignment horizontal="left"/>
    </xf>
    <xf numFmtId="2" fontId="27" fillId="0" borderId="16" xfId="0" applyNumberFormat="1" applyFont="1" applyBorder="1" applyAlignment="1">
      <alignment horizontal="left"/>
    </xf>
    <xf numFmtId="2" fontId="22" fillId="0" borderId="16" xfId="2" applyNumberFormat="1" applyFont="1" applyBorder="1" applyAlignment="1">
      <alignment horizontal="right"/>
    </xf>
    <xf numFmtId="2" fontId="22" fillId="0" borderId="16" xfId="1" applyNumberFormat="1" applyFont="1" applyBorder="1" applyAlignment="1">
      <alignment horizontal="right"/>
    </xf>
    <xf numFmtId="2" fontId="2" fillId="0" borderId="16" xfId="0" applyNumberFormat="1" applyFont="1" applyBorder="1" applyAlignment="1">
      <alignment horizontal="right"/>
    </xf>
    <xf numFmtId="2" fontId="22" fillId="0" borderId="16" xfId="0" applyNumberFormat="1" applyFont="1" applyBorder="1" applyAlignment="1">
      <alignment horizontal="right" wrapText="1"/>
    </xf>
    <xf numFmtId="3" fontId="26" fillId="0" borderId="16" xfId="0" applyNumberFormat="1" applyFont="1" applyBorder="1" applyAlignment="1">
      <alignment horizontal="right"/>
    </xf>
    <xf numFmtId="3" fontId="28" fillId="0" borderId="16" xfId="0" applyNumberFormat="1" applyFont="1" applyBorder="1" applyAlignment="1">
      <alignment horizontal="right"/>
    </xf>
    <xf numFmtId="172" fontId="26" fillId="0" borderId="16" xfId="0" applyNumberFormat="1" applyFont="1" applyBorder="1" applyAlignment="1">
      <alignment horizontal="right"/>
    </xf>
    <xf numFmtId="2" fontId="22" fillId="0" borderId="16" xfId="0" applyNumberFormat="1" applyFont="1" applyFill="1" applyBorder="1" applyAlignment="1">
      <alignment horizontal="right"/>
    </xf>
    <xf numFmtId="1" fontId="36" fillId="0" borderId="0" xfId="0" applyNumberFormat="1" applyFont="1" applyAlignment="1">
      <alignment horizontal="left"/>
    </xf>
    <xf numFmtId="0" fontId="37" fillId="0" borderId="0" xfId="0" applyFont="1" applyBorder="1" applyAlignment="1">
      <alignment horizontal="left"/>
    </xf>
    <xf numFmtId="1" fontId="18" fillId="0" borderId="8" xfId="0" applyNumberFormat="1" applyFont="1" applyBorder="1" applyAlignment="1">
      <alignment horizontal="left" vertical="center"/>
    </xf>
    <xf numFmtId="1" fontId="18" fillId="0" borderId="5" xfId="0" applyNumberFormat="1" applyFont="1" applyBorder="1" applyAlignment="1">
      <alignment horizontal="left" vertical="center"/>
    </xf>
    <xf numFmtId="1" fontId="18" fillId="0" borderId="9" xfId="0" applyNumberFormat="1" applyFont="1" applyBorder="1" applyAlignment="1">
      <alignment horizontal="left" vertical="center"/>
    </xf>
    <xf numFmtId="1" fontId="17" fillId="0" borderId="7" xfId="0" applyNumberFormat="1" applyFont="1" applyFill="1" applyBorder="1" applyAlignment="1">
      <alignment horizontal="left" vertical="center" shrinkToFit="1"/>
    </xf>
    <xf numFmtId="1" fontId="18" fillId="0" borderId="7" xfId="0" applyNumberFormat="1" applyFont="1" applyBorder="1" applyAlignment="1">
      <alignment horizontal="left" vertical="center"/>
    </xf>
    <xf numFmtId="1" fontId="18" fillId="0" borderId="48" xfId="0" applyNumberFormat="1" applyFont="1" applyBorder="1" applyAlignment="1">
      <alignment horizontal="left" vertical="center"/>
    </xf>
    <xf numFmtId="0" fontId="37" fillId="0" borderId="61" xfId="0" applyFont="1" applyBorder="1" applyAlignment="1">
      <alignment horizontal="left"/>
    </xf>
    <xf numFmtId="0" fontId="37" fillId="0" borderId="55" xfId="0" applyFont="1" applyBorder="1" applyAlignment="1">
      <alignment horizontal="left"/>
    </xf>
    <xf numFmtId="0" fontId="37" fillId="0" borderId="57" xfId="0" applyFont="1" applyBorder="1" applyAlignment="1">
      <alignment horizontal="left"/>
    </xf>
    <xf numFmtId="0" fontId="37" fillId="0" borderId="27" xfId="0" applyFont="1" applyBorder="1" applyAlignment="1">
      <alignment horizontal="left"/>
    </xf>
    <xf numFmtId="0" fontId="38" fillId="0" borderId="0" xfId="0" applyFont="1"/>
    <xf numFmtId="0" fontId="37" fillId="0" borderId="25" xfId="0" applyFont="1" applyBorder="1" applyAlignment="1">
      <alignment horizontal="left"/>
    </xf>
    <xf numFmtId="0" fontId="37" fillId="0" borderId="26" xfId="0" applyFont="1" applyBorder="1" applyAlignment="1">
      <alignment horizontal="left"/>
    </xf>
    <xf numFmtId="0" fontId="39" fillId="0" borderId="0" xfId="0" applyFont="1"/>
    <xf numFmtId="0" fontId="40" fillId="0" borderId="45" xfId="0" applyFont="1" applyBorder="1" applyAlignment="1">
      <alignment horizontal="left"/>
    </xf>
    <xf numFmtId="1" fontId="40" fillId="0" borderId="12" xfId="0" applyNumberFormat="1" applyFont="1" applyBorder="1" applyAlignment="1">
      <alignment horizontal="left" vertical="center"/>
    </xf>
    <xf numFmtId="1" fontId="40" fillId="0" borderId="31" xfId="0" applyNumberFormat="1" applyFont="1" applyBorder="1" applyAlignment="1">
      <alignment horizontal="left" vertical="center"/>
    </xf>
    <xf numFmtId="1" fontId="40" fillId="0" borderId="62" xfId="0" applyNumberFormat="1" applyFont="1" applyBorder="1" applyAlignment="1">
      <alignment horizontal="left" vertical="center"/>
    </xf>
    <xf numFmtId="1" fontId="40" fillId="0" borderId="46" xfId="0" applyNumberFormat="1" applyFont="1" applyBorder="1" applyAlignment="1">
      <alignment horizontal="left" vertical="center"/>
    </xf>
    <xf numFmtId="1" fontId="40" fillId="0" borderId="63" xfId="0" applyNumberFormat="1" applyFont="1" applyBorder="1" applyAlignment="1">
      <alignment horizontal="left" vertical="center"/>
    </xf>
    <xf numFmtId="1" fontId="40" fillId="0" borderId="12" xfId="0" applyNumberFormat="1" applyFont="1" applyBorder="1" applyAlignment="1">
      <alignment horizontal="left"/>
    </xf>
    <xf numFmtId="1" fontId="40" fillId="0" borderId="45" xfId="0" applyNumberFormat="1" applyFont="1" applyBorder="1" applyAlignment="1">
      <alignment horizontal="left"/>
    </xf>
    <xf numFmtId="2" fontId="40" fillId="0" borderId="12" xfId="0" applyNumberFormat="1" applyFont="1" applyBorder="1" applyAlignment="1">
      <alignment horizontal="left"/>
    </xf>
    <xf numFmtId="1" fontId="40" fillId="0" borderId="12" xfId="1" applyNumberFormat="1" applyFont="1" applyBorder="1" applyAlignment="1">
      <alignment horizontal="left"/>
    </xf>
    <xf numFmtId="1" fontId="40" fillId="0" borderId="31" xfId="1" applyNumberFormat="1" applyFont="1" applyBorder="1" applyAlignment="1">
      <alignment horizontal="left"/>
    </xf>
    <xf numFmtId="0" fontId="40" fillId="0" borderId="0" xfId="0" applyFont="1" applyAlignment="1">
      <alignment horizontal="left"/>
    </xf>
    <xf numFmtId="1" fontId="41" fillId="0" borderId="0" xfId="0" applyNumberFormat="1" applyFont="1"/>
    <xf numFmtId="1" fontId="27" fillId="0" borderId="0" xfId="0" applyNumberFormat="1" applyFont="1" applyFill="1" applyBorder="1" applyAlignment="1">
      <alignment horizontal="left"/>
    </xf>
    <xf numFmtId="1" fontId="27" fillId="0" borderId="1" xfId="0" applyNumberFormat="1" applyFont="1" applyFill="1" applyBorder="1" applyAlignment="1">
      <alignment horizontal="left"/>
    </xf>
    <xf numFmtId="1" fontId="25" fillId="0" borderId="29" xfId="0" applyNumberFormat="1" applyFont="1" applyBorder="1" applyAlignment="1">
      <alignment horizontal="left" vertical="center"/>
    </xf>
    <xf numFmtId="1" fontId="28" fillId="0" borderId="1" xfId="0" applyNumberFormat="1" applyFont="1" applyBorder="1" applyAlignment="1">
      <alignment horizontal="left"/>
    </xf>
    <xf numFmtId="1" fontId="25" fillId="0" borderId="0" xfId="0" applyNumberFormat="1" applyFont="1" applyAlignment="1">
      <alignment horizontal="left"/>
    </xf>
    <xf numFmtId="1" fontId="3" fillId="0" borderId="4" xfId="0" applyNumberFormat="1" applyFont="1" applyBorder="1" applyAlignment="1">
      <alignment horizontal="left"/>
    </xf>
    <xf numFmtId="1" fontId="25" fillId="0" borderId="15" xfId="0" applyNumberFormat="1" applyFont="1" applyBorder="1" applyAlignment="1">
      <alignment horizontal="left" vertical="center"/>
    </xf>
    <xf numFmtId="1" fontId="27" fillId="0" borderId="19" xfId="0" applyNumberFormat="1" applyFont="1" applyBorder="1" applyAlignment="1">
      <alignment horizontal="left" vertical="center"/>
    </xf>
    <xf numFmtId="1" fontId="26" fillId="0" borderId="23" xfId="0" applyNumberFormat="1" applyFont="1" applyBorder="1" applyAlignment="1">
      <alignment horizontal="left"/>
    </xf>
    <xf numFmtId="1" fontId="27" fillId="0" borderId="19" xfId="0" applyNumberFormat="1" applyFont="1" applyFill="1" applyBorder="1" applyAlignment="1">
      <alignment horizontal="left"/>
    </xf>
    <xf numFmtId="1" fontId="40" fillId="0" borderId="0" xfId="0" applyNumberFormat="1" applyFont="1" applyAlignment="1">
      <alignment horizontal="left"/>
    </xf>
    <xf numFmtId="1" fontId="25" fillId="0" borderId="38" xfId="0" applyNumberFormat="1" applyFont="1" applyBorder="1" applyAlignment="1">
      <alignment horizontal="left"/>
    </xf>
    <xf numFmtId="1" fontId="40" fillId="0" borderId="56" xfId="0" applyNumberFormat="1" applyFont="1" applyBorder="1" applyAlignment="1">
      <alignment horizontal="left" vertical="center"/>
    </xf>
    <xf numFmtId="1" fontId="40" fillId="0" borderId="61" xfId="0" applyNumberFormat="1" applyFont="1" applyBorder="1" applyAlignment="1">
      <alignment horizontal="left" vertical="center"/>
    </xf>
    <xf numFmtId="1" fontId="40" fillId="0" borderId="53" xfId="0" applyNumberFormat="1" applyFont="1" applyBorder="1" applyAlignment="1">
      <alignment horizontal="left" vertical="center"/>
    </xf>
    <xf numFmtId="1" fontId="40" fillId="0" borderId="54" xfId="0" applyNumberFormat="1" applyFont="1" applyBorder="1" applyAlignment="1">
      <alignment horizontal="left" vertical="center"/>
    </xf>
    <xf numFmtId="1" fontId="40" fillId="0" borderId="64" xfId="0" applyNumberFormat="1" applyFont="1" applyBorder="1" applyAlignment="1">
      <alignment horizontal="left"/>
    </xf>
    <xf numFmtId="1" fontId="40" fillId="0" borderId="65" xfId="0" applyNumberFormat="1" applyFont="1" applyBorder="1" applyAlignment="1">
      <alignment horizontal="left"/>
    </xf>
    <xf numFmtId="1" fontId="40" fillId="0" borderId="56" xfId="0" applyNumberFormat="1" applyFont="1" applyBorder="1" applyAlignment="1">
      <alignment horizontal="left"/>
    </xf>
    <xf numFmtId="1" fontId="40" fillId="0" borderId="54" xfId="0" applyNumberFormat="1" applyFont="1" applyBorder="1" applyAlignment="1">
      <alignment horizontal="left"/>
    </xf>
    <xf numFmtId="1" fontId="40" fillId="0" borderId="54" xfId="1" applyNumberFormat="1" applyFont="1" applyBorder="1" applyAlignment="1">
      <alignment horizontal="left"/>
    </xf>
    <xf numFmtId="1" fontId="40" fillId="0" borderId="53" xfId="0" applyNumberFormat="1" applyFont="1" applyBorder="1" applyAlignment="1">
      <alignment horizontal="left"/>
    </xf>
    <xf numFmtId="1" fontId="37" fillId="0" borderId="61" xfId="0" applyNumberFormat="1" applyFont="1" applyBorder="1" applyAlignment="1">
      <alignment horizontal="left"/>
    </xf>
    <xf numFmtId="1" fontId="42" fillId="0" borderId="0" xfId="0" applyNumberFormat="1" applyFont="1" applyAlignment="1">
      <alignment horizontal="left"/>
    </xf>
    <xf numFmtId="1" fontId="41" fillId="0" borderId="0" xfId="0" applyNumberFormat="1" applyFont="1" applyAlignment="1">
      <alignment horizontal="left"/>
    </xf>
    <xf numFmtId="0" fontId="40" fillId="0" borderId="53" xfId="0" applyFont="1" applyBorder="1" applyAlignment="1">
      <alignment horizontal="left"/>
    </xf>
    <xf numFmtId="1" fontId="40" fillId="0" borderId="57" xfId="0" applyNumberFormat="1" applyFont="1" applyBorder="1" applyAlignment="1">
      <alignment horizontal="left"/>
    </xf>
    <xf numFmtId="0" fontId="41" fillId="0" borderId="0" xfId="0" applyFont="1" applyAlignment="1">
      <alignment horizontal="left"/>
    </xf>
    <xf numFmtId="2" fontId="41" fillId="0" borderId="61" xfId="0" applyNumberFormat="1" applyFont="1" applyBorder="1" applyAlignment="1">
      <alignment horizontal="left"/>
    </xf>
    <xf numFmtId="2" fontId="41" fillId="0" borderId="55" xfId="0" applyNumberFormat="1" applyFont="1" applyBorder="1" applyAlignment="1">
      <alignment horizontal="left"/>
    </xf>
    <xf numFmtId="1" fontId="41" fillId="0" borderId="57" xfId="0" applyNumberFormat="1" applyFont="1" applyBorder="1" applyAlignment="1">
      <alignment horizontal="left"/>
    </xf>
    <xf numFmtId="1" fontId="41" fillId="0" borderId="55" xfId="0" applyNumberFormat="1" applyFont="1" applyBorder="1" applyAlignment="1">
      <alignment horizontal="left"/>
    </xf>
    <xf numFmtId="1" fontId="41" fillId="0" borderId="61" xfId="0" applyNumberFormat="1" applyFont="1" applyBorder="1" applyAlignment="1">
      <alignment horizontal="left"/>
    </xf>
    <xf numFmtId="2" fontId="41" fillId="0" borderId="56" xfId="0" applyNumberFormat="1" applyFont="1" applyBorder="1" applyAlignment="1">
      <alignment horizontal="left"/>
    </xf>
    <xf numFmtId="2" fontId="41" fillId="0" borderId="66" xfId="0" applyNumberFormat="1" applyFont="1" applyBorder="1" applyAlignment="1">
      <alignment horizontal="left"/>
    </xf>
    <xf numFmtId="0" fontId="40" fillId="0" borderId="57" xfId="0" applyFont="1" applyBorder="1" applyAlignment="1">
      <alignment horizontal="left"/>
    </xf>
    <xf numFmtId="0" fontId="37" fillId="0" borderId="45" xfId="0" applyFont="1" applyBorder="1" applyAlignment="1">
      <alignment horizontal="left"/>
    </xf>
    <xf numFmtId="0" fontId="38" fillId="0" borderId="63" xfId="0" applyFont="1" applyBorder="1"/>
    <xf numFmtId="0" fontId="36" fillId="0" borderId="63" xfId="0" applyFont="1" applyBorder="1" applyAlignment="1">
      <alignment horizontal="left"/>
    </xf>
    <xf numFmtId="0" fontId="36" fillId="0" borderId="31" xfId="0" applyFont="1" applyBorder="1" applyAlignment="1">
      <alignment horizontal="left"/>
    </xf>
    <xf numFmtId="0" fontId="36" fillId="0" borderId="67" xfId="0" applyFont="1" applyBorder="1" applyAlignment="1">
      <alignment horizontal="left"/>
    </xf>
    <xf numFmtId="0" fontId="36" fillId="0" borderId="0" xfId="0" applyFont="1" applyAlignment="1">
      <alignment horizontal="left"/>
    </xf>
    <xf numFmtId="0" fontId="40" fillId="0" borderId="55" xfId="0" applyFont="1" applyBorder="1" applyAlignment="1">
      <alignment horizontal="left"/>
    </xf>
    <xf numFmtId="0" fontId="19" fillId="0" borderId="29" xfId="0" applyFont="1" applyBorder="1" applyAlignment="1">
      <alignment horizontal="left"/>
    </xf>
    <xf numFmtId="0" fontId="1" fillId="0" borderId="0" xfId="0" applyFont="1"/>
    <xf numFmtId="0" fontId="7" fillId="0" borderId="0" xfId="0" applyFont="1" applyAlignment="1">
      <alignment horizontal="left"/>
    </xf>
    <xf numFmtId="1" fontId="27" fillId="0" borderId="64" xfId="0" applyNumberFormat="1" applyFont="1" applyBorder="1" applyAlignment="1">
      <alignment horizontal="left"/>
    </xf>
    <xf numFmtId="1" fontId="27" fillId="0" borderId="66" xfId="0" applyNumberFormat="1" applyFont="1" applyBorder="1" applyAlignment="1">
      <alignment horizontal="left"/>
    </xf>
    <xf numFmtId="1" fontId="41" fillId="0" borderId="56" xfId="0" applyNumberFormat="1" applyFont="1" applyBorder="1" applyAlignment="1">
      <alignment horizontal="left"/>
    </xf>
    <xf numFmtId="1" fontId="41" fillId="0" borderId="64" xfId="0" applyNumberFormat="1" applyFont="1" applyBorder="1" applyAlignment="1">
      <alignment horizontal="left"/>
    </xf>
    <xf numFmtId="1" fontId="41" fillId="0" borderId="66" xfId="0" applyNumberFormat="1" applyFont="1" applyBorder="1" applyAlignment="1">
      <alignment horizontal="left"/>
    </xf>
    <xf numFmtId="1" fontId="27" fillId="0" borderId="68" xfId="0" applyNumberFormat="1" applyFont="1" applyBorder="1" applyAlignment="1">
      <alignment horizontal="left"/>
    </xf>
    <xf numFmtId="1" fontId="27" fillId="0" borderId="49" xfId="0" applyNumberFormat="1" applyFont="1" applyBorder="1" applyAlignment="1">
      <alignment horizontal="left"/>
    </xf>
    <xf numFmtId="1" fontId="27" fillId="0" borderId="50" xfId="0" applyNumberFormat="1" applyFont="1" applyBorder="1" applyAlignment="1">
      <alignment horizontal="left"/>
    </xf>
    <xf numFmtId="1" fontId="27" fillId="0" borderId="54" xfId="0" applyNumberFormat="1" applyFont="1" applyBorder="1" applyAlignment="1">
      <alignment horizontal="left"/>
    </xf>
    <xf numFmtId="1" fontId="41" fillId="0" borderId="54" xfId="0" applyNumberFormat="1" applyFont="1" applyBorder="1" applyAlignment="1">
      <alignment horizontal="left"/>
    </xf>
    <xf numFmtId="0" fontId="27" fillId="0" borderId="56" xfId="0" applyFont="1" applyBorder="1" applyAlignment="1">
      <alignment horizontal="left"/>
    </xf>
    <xf numFmtId="2" fontId="27" fillId="0" borderId="69" xfId="0" applyNumberFormat="1" applyFont="1" applyBorder="1" applyAlignment="1">
      <alignment horizontal="left"/>
    </xf>
    <xf numFmtId="2" fontId="41" fillId="0" borderId="35" xfId="0" applyNumberFormat="1" applyFont="1" applyBorder="1" applyAlignment="1">
      <alignment horizontal="left"/>
    </xf>
    <xf numFmtId="0" fontId="40" fillId="0" borderId="61" xfId="0" applyFont="1" applyBorder="1" applyAlignment="1">
      <alignment horizontal="left"/>
    </xf>
    <xf numFmtId="0" fontId="25" fillId="0" borderId="25" xfId="0" applyFont="1" applyBorder="1" applyAlignment="1">
      <alignment horizontal="left"/>
    </xf>
    <xf numFmtId="0" fontId="25" fillId="0" borderId="6" xfId="0" applyFont="1" applyBorder="1" applyAlignment="1">
      <alignment horizontal="left"/>
    </xf>
    <xf numFmtId="0" fontId="27" fillId="0" borderId="66" xfId="0" applyFont="1" applyBorder="1" applyAlignment="1">
      <alignment horizontal="left"/>
    </xf>
    <xf numFmtId="2" fontId="27" fillId="0" borderId="49" xfId="0" applyNumberFormat="1" applyFont="1" applyBorder="1" applyAlignment="1">
      <alignment horizontal="left"/>
    </xf>
    <xf numFmtId="2" fontId="41" fillId="0" borderId="36" xfId="0" applyNumberFormat="1" applyFont="1" applyBorder="1" applyAlignment="1">
      <alignment horizontal="left"/>
    </xf>
    <xf numFmtId="1" fontId="25" fillId="0" borderId="52" xfId="0" applyNumberFormat="1" applyFont="1" applyFill="1" applyBorder="1" applyAlignment="1">
      <alignment horizontal="center" vertical="justify" wrapText="1"/>
    </xf>
    <xf numFmtId="1" fontId="40" fillId="0" borderId="53" xfId="0" applyNumberFormat="1" applyFont="1" applyBorder="1" applyAlignment="1">
      <alignment horizontal="center" vertical="justify" wrapText="1"/>
    </xf>
    <xf numFmtId="1" fontId="21" fillId="0" borderId="12" xfId="0" applyNumberFormat="1" applyFont="1" applyBorder="1" applyAlignment="1">
      <alignment horizontal="left"/>
    </xf>
    <xf numFmtId="1" fontId="21" fillId="0" borderId="31" xfId="0" applyNumberFormat="1" applyFont="1" applyBorder="1" applyAlignment="1">
      <alignment horizontal="left"/>
    </xf>
    <xf numFmtId="2" fontId="18" fillId="0" borderId="3" xfId="2" applyNumberFormat="1" applyFont="1" applyBorder="1" applyAlignment="1">
      <alignment horizontal="left"/>
    </xf>
    <xf numFmtId="2" fontId="17" fillId="0" borderId="28" xfId="0" applyNumberFormat="1" applyFont="1" applyBorder="1" applyAlignment="1">
      <alignment horizontal="left"/>
    </xf>
    <xf numFmtId="2" fontId="17" fillId="0" borderId="23" xfId="0" applyNumberFormat="1" applyFont="1" applyBorder="1" applyAlignment="1">
      <alignment horizontal="left"/>
    </xf>
    <xf numFmtId="2" fontId="18" fillId="0" borderId="41" xfId="0" applyNumberFormat="1" applyFont="1" applyBorder="1" applyAlignment="1">
      <alignment horizontal="left"/>
    </xf>
    <xf numFmtId="2" fontId="17" fillId="0" borderId="7" xfId="2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172" fontId="26" fillId="0" borderId="13" xfId="0" applyNumberFormat="1" applyFont="1" applyBorder="1" applyAlignment="1">
      <alignment horizontal="left"/>
    </xf>
    <xf numFmtId="172" fontId="26" fillId="0" borderId="23" xfId="0" applyNumberFormat="1" applyFont="1" applyBorder="1" applyAlignment="1">
      <alignment horizontal="left"/>
    </xf>
    <xf numFmtId="0" fontId="27" fillId="0" borderId="41" xfId="0" applyFont="1" applyBorder="1" applyAlignment="1">
      <alignment horizontal="left"/>
    </xf>
    <xf numFmtId="2" fontId="22" fillId="0" borderId="13" xfId="1" applyNumberFormat="1" applyFont="1" applyBorder="1" applyAlignment="1">
      <alignment horizontal="left"/>
    </xf>
    <xf numFmtId="2" fontId="22" fillId="0" borderId="23" xfId="1" applyNumberFormat="1" applyFont="1" applyBorder="1" applyAlignment="1">
      <alignment horizontal="left"/>
    </xf>
    <xf numFmtId="2" fontId="22" fillId="0" borderId="41" xfId="1" applyNumberFormat="1" applyFont="1" applyBorder="1" applyAlignment="1">
      <alignment horizontal="left"/>
    </xf>
    <xf numFmtId="1" fontId="17" fillId="0" borderId="19" xfId="0" applyNumberFormat="1" applyFont="1" applyBorder="1" applyAlignment="1">
      <alignment horizontal="left" vertical="center"/>
    </xf>
    <xf numFmtId="1" fontId="17" fillId="0" borderId="20" xfId="0" applyNumberFormat="1" applyFont="1" applyBorder="1" applyAlignment="1">
      <alignment horizontal="left"/>
    </xf>
    <xf numFmtId="1" fontId="17" fillId="0" borderId="22" xfId="0" applyNumberFormat="1" applyFont="1" applyBorder="1" applyAlignment="1">
      <alignment horizontal="left"/>
    </xf>
    <xf numFmtId="1" fontId="17" fillId="0" borderId="19" xfId="0" applyNumberFormat="1" applyFont="1" applyBorder="1" applyAlignment="1">
      <alignment horizontal="left"/>
    </xf>
    <xf numFmtId="1" fontId="17" fillId="0" borderId="20" xfId="0" applyNumberFormat="1" applyFont="1" applyFill="1" applyBorder="1" applyAlignment="1">
      <alignment horizontal="left"/>
    </xf>
    <xf numFmtId="1" fontId="17" fillId="0" borderId="21" xfId="1" applyNumberFormat="1" applyFont="1" applyBorder="1" applyAlignment="1">
      <alignment horizontal="left"/>
    </xf>
    <xf numFmtId="1" fontId="17" fillId="0" borderId="19" xfId="1" applyNumberFormat="1" applyFont="1" applyBorder="1" applyAlignment="1">
      <alignment horizontal="left"/>
    </xf>
    <xf numFmtId="1" fontId="18" fillId="0" borderId="17" xfId="0" applyNumberFormat="1" applyFont="1" applyBorder="1" applyAlignment="1">
      <alignment horizontal="left"/>
    </xf>
    <xf numFmtId="1" fontId="29" fillId="0" borderId="56" xfId="0" applyNumberFormat="1" applyFont="1" applyBorder="1" applyAlignment="1">
      <alignment horizontal="left" vertical="center"/>
    </xf>
    <xf numFmtId="1" fontId="29" fillId="0" borderId="61" xfId="0" applyNumberFormat="1" applyFont="1" applyBorder="1" applyAlignment="1">
      <alignment horizontal="left" vertical="center"/>
    </xf>
    <xf numFmtId="1" fontId="29" fillId="0" borderId="64" xfId="0" applyNumberFormat="1" applyFont="1" applyBorder="1" applyAlignment="1">
      <alignment horizontal="left" vertical="center"/>
    </xf>
    <xf numFmtId="1" fontId="29" fillId="0" borderId="66" xfId="0" applyNumberFormat="1" applyFont="1" applyBorder="1" applyAlignment="1">
      <alignment horizontal="left" vertical="center"/>
    </xf>
    <xf numFmtId="1" fontId="29" fillId="0" borderId="54" xfId="0" applyNumberFormat="1" applyFont="1" applyBorder="1" applyAlignment="1">
      <alignment horizontal="left" vertical="center"/>
    </xf>
    <xf numFmtId="1" fontId="29" fillId="0" borderId="53" xfId="0" applyNumberFormat="1" applyFont="1" applyBorder="1" applyAlignment="1">
      <alignment horizontal="left" vertical="center"/>
    </xf>
    <xf numFmtId="1" fontId="29" fillId="0" borderId="56" xfId="0" applyNumberFormat="1" applyFont="1" applyBorder="1" applyAlignment="1">
      <alignment horizontal="left"/>
    </xf>
    <xf numFmtId="1" fontId="29" fillId="0" borderId="66" xfId="0" applyNumberFormat="1" applyFont="1" applyBorder="1" applyAlignment="1">
      <alignment horizontal="left"/>
    </xf>
    <xf numFmtId="1" fontId="30" fillId="0" borderId="56" xfId="1" applyNumberFormat="1" applyFont="1" applyBorder="1" applyAlignment="1">
      <alignment horizontal="left"/>
    </xf>
    <xf numFmtId="1" fontId="30" fillId="0" borderId="57" xfId="1" applyNumberFormat="1" applyFont="1" applyBorder="1" applyAlignment="1">
      <alignment horizontal="left"/>
    </xf>
    <xf numFmtId="1" fontId="29" fillId="0" borderId="57" xfId="0" applyNumberFormat="1" applyFont="1" applyBorder="1" applyAlignment="1">
      <alignment horizontal="left"/>
    </xf>
    <xf numFmtId="1" fontId="18" fillId="0" borderId="19" xfId="0" applyNumberFormat="1" applyFont="1" applyBorder="1" applyAlignment="1">
      <alignment horizontal="left" vertical="center"/>
    </xf>
    <xf numFmtId="1" fontId="18" fillId="0" borderId="24" xfId="0" applyNumberFormat="1" applyFont="1" applyBorder="1" applyAlignment="1">
      <alignment horizontal="left" vertical="center"/>
    </xf>
    <xf numFmtId="1" fontId="18" fillId="0" borderId="20" xfId="0" applyNumberFormat="1" applyFont="1" applyBorder="1" applyAlignment="1">
      <alignment horizontal="left"/>
    </xf>
    <xf numFmtId="1" fontId="1" fillId="0" borderId="22" xfId="0" applyNumberFormat="1" applyFont="1" applyBorder="1" applyAlignment="1">
      <alignment horizontal="left"/>
    </xf>
    <xf numFmtId="1" fontId="17" fillId="0" borderId="19" xfId="0" applyNumberFormat="1" applyFont="1" applyFill="1" applyBorder="1" applyAlignment="1">
      <alignment horizontal="left" vertical="top" wrapText="1"/>
    </xf>
    <xf numFmtId="1" fontId="18" fillId="0" borderId="20" xfId="0" applyNumberFormat="1" applyFont="1" applyBorder="1" applyAlignment="1">
      <alignment horizontal="left" vertical="center"/>
    </xf>
    <xf numFmtId="1" fontId="18" fillId="0" borderId="19" xfId="0" applyNumberFormat="1" applyFont="1" applyBorder="1" applyAlignment="1">
      <alignment horizontal="left"/>
    </xf>
    <xf numFmtId="1" fontId="25" fillId="0" borderId="52" xfId="0" applyNumberFormat="1" applyFont="1" applyFill="1" applyBorder="1" applyAlignment="1">
      <alignment horizontal="center" vertical="center" wrapText="1"/>
    </xf>
    <xf numFmtId="1" fontId="22" fillId="0" borderId="1" xfId="0" applyNumberFormat="1" applyFont="1" applyBorder="1" applyAlignment="1">
      <alignment horizontal="left" wrapText="1"/>
    </xf>
    <xf numFmtId="1" fontId="22" fillId="0" borderId="1" xfId="0" applyNumberFormat="1" applyFont="1" applyFill="1" applyBorder="1" applyAlignment="1">
      <alignment horizontal="left"/>
    </xf>
    <xf numFmtId="1" fontId="40" fillId="0" borderId="11" xfId="0" applyNumberFormat="1" applyFont="1" applyBorder="1" applyAlignment="1">
      <alignment horizontal="left"/>
    </xf>
    <xf numFmtId="1" fontId="40" fillId="0" borderId="31" xfId="0" applyNumberFormat="1" applyFont="1" applyBorder="1" applyAlignment="1">
      <alignment horizontal="left"/>
    </xf>
    <xf numFmtId="3" fontId="40" fillId="0" borderId="31" xfId="0" applyNumberFormat="1" applyFont="1" applyBorder="1" applyAlignment="1">
      <alignment horizontal="left"/>
    </xf>
    <xf numFmtId="1" fontId="21" fillId="0" borderId="67" xfId="0" applyNumberFormat="1" applyFont="1" applyBorder="1" applyAlignment="1">
      <alignment horizontal="left"/>
    </xf>
    <xf numFmtId="0" fontId="23" fillId="0" borderId="70" xfId="0" applyFont="1" applyBorder="1" applyAlignment="1">
      <alignment horizontal="center" vertical="center"/>
    </xf>
    <xf numFmtId="0" fontId="26" fillId="0" borderId="30" xfId="0" applyFont="1" applyBorder="1" applyAlignment="1">
      <alignment horizontal="left"/>
    </xf>
    <xf numFmtId="0" fontId="21" fillId="0" borderId="30" xfId="0" applyFont="1" applyBorder="1"/>
    <xf numFmtId="2" fontId="22" fillId="0" borderId="38" xfId="0" applyNumberFormat="1" applyFont="1" applyBorder="1" applyAlignment="1">
      <alignment vertical="center"/>
    </xf>
    <xf numFmtId="2" fontId="22" fillId="0" borderId="24" xfId="0" applyNumberFormat="1" applyFont="1" applyBorder="1" applyAlignment="1">
      <alignment horizontal="right"/>
    </xf>
    <xf numFmtId="2" fontId="22" fillId="0" borderId="38" xfId="0" applyNumberFormat="1" applyFont="1" applyBorder="1" applyAlignment="1">
      <alignment horizontal="right"/>
    </xf>
    <xf numFmtId="2" fontId="17" fillId="0" borderId="24" xfId="0" applyNumberFormat="1" applyFont="1" applyBorder="1" applyAlignment="1">
      <alignment horizontal="right"/>
    </xf>
    <xf numFmtId="2" fontId="27" fillId="0" borderId="24" xfId="0" applyNumberFormat="1" applyFont="1" applyBorder="1" applyAlignment="1">
      <alignment horizontal="left"/>
    </xf>
    <xf numFmtId="2" fontId="22" fillId="0" borderId="24" xfId="1" applyNumberFormat="1" applyFont="1" applyBorder="1" applyAlignment="1">
      <alignment horizontal="right"/>
    </xf>
    <xf numFmtId="2" fontId="22" fillId="0" borderId="24" xfId="0" applyNumberFormat="1" applyFont="1" applyBorder="1" applyAlignment="1">
      <alignment horizontal="right" wrapText="1"/>
    </xf>
    <xf numFmtId="3" fontId="26" fillId="0" borderId="24" xfId="0" applyNumberFormat="1" applyFont="1" applyBorder="1" applyAlignment="1">
      <alignment horizontal="right"/>
    </xf>
    <xf numFmtId="2" fontId="22" fillId="0" borderId="24" xfId="0" applyNumberFormat="1" applyFont="1" applyFill="1" applyBorder="1" applyAlignment="1">
      <alignment horizontal="right"/>
    </xf>
    <xf numFmtId="0" fontId="43" fillId="0" borderId="61" xfId="0" applyFont="1" applyBorder="1" applyAlignment="1">
      <alignment horizontal="center" vertical="center"/>
    </xf>
    <xf numFmtId="1" fontId="23" fillId="0" borderId="7" xfId="0" applyNumberFormat="1" applyFont="1" applyBorder="1" applyAlignment="1">
      <alignment horizontal="left" vertical="center"/>
    </xf>
    <xf numFmtId="1" fontId="28" fillId="0" borderId="71" xfId="0" applyNumberFormat="1" applyFont="1" applyBorder="1" applyAlignment="1">
      <alignment horizontal="left"/>
    </xf>
    <xf numFmtId="1" fontId="24" fillId="0" borderId="4" xfId="0" applyNumberFormat="1" applyFont="1" applyBorder="1" applyAlignment="1">
      <alignment horizontal="left"/>
    </xf>
    <xf numFmtId="1" fontId="18" fillId="0" borderId="0" xfId="0" applyNumberFormat="1" applyFont="1" applyAlignment="1">
      <alignment horizontal="left"/>
    </xf>
    <xf numFmtId="1" fontId="18" fillId="0" borderId="4" xfId="2" applyNumberFormat="1" applyFont="1" applyBorder="1" applyAlignment="1">
      <alignment horizontal="left"/>
    </xf>
    <xf numFmtId="1" fontId="18" fillId="0" borderId="3" xfId="0" applyNumberFormat="1" applyFont="1" applyFill="1" applyBorder="1" applyAlignment="1">
      <alignment horizontal="left"/>
    </xf>
    <xf numFmtId="1" fontId="4" fillId="0" borderId="4" xfId="0" applyNumberFormat="1" applyFont="1" applyBorder="1" applyAlignment="1">
      <alignment horizontal="left"/>
    </xf>
    <xf numFmtId="1" fontId="18" fillId="0" borderId="28" xfId="0" applyNumberFormat="1" applyFont="1" applyBorder="1" applyAlignment="1">
      <alignment horizontal="left" vertical="center"/>
    </xf>
    <xf numFmtId="1" fontId="24" fillId="0" borderId="8" xfId="0" applyNumberFormat="1" applyFont="1" applyBorder="1" applyAlignment="1">
      <alignment horizontal="left"/>
    </xf>
    <xf numFmtId="1" fontId="18" fillId="0" borderId="10" xfId="0" applyNumberFormat="1" applyFont="1" applyBorder="1" applyAlignment="1">
      <alignment horizontal="left" vertical="center"/>
    </xf>
    <xf numFmtId="0" fontId="29" fillId="0" borderId="53" xfId="0" applyFont="1" applyBorder="1" applyAlignment="1">
      <alignment horizontal="left"/>
    </xf>
    <xf numFmtId="1" fontId="17" fillId="0" borderId="10" xfId="0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" fontId="1" fillId="0" borderId="69" xfId="0" applyNumberFormat="1" applyFont="1" applyBorder="1" applyAlignment="1">
      <alignment horizontal="left" vertical="center"/>
    </xf>
    <xf numFmtId="1" fontId="4" fillId="0" borderId="50" xfId="0" applyNumberFormat="1" applyFont="1" applyBorder="1" applyAlignment="1">
      <alignment horizontal="left"/>
    </xf>
    <xf numFmtId="1" fontId="4" fillId="0" borderId="49" xfId="0" applyNumberFormat="1" applyFont="1" applyBorder="1" applyAlignment="1">
      <alignment horizontal="left"/>
    </xf>
    <xf numFmtId="1" fontId="4" fillId="0" borderId="69" xfId="0" applyNumberFormat="1" applyFont="1" applyBorder="1" applyAlignment="1">
      <alignment horizontal="left"/>
    </xf>
    <xf numFmtId="1" fontId="1" fillId="0" borderId="50" xfId="0" applyNumberFormat="1" applyFont="1" applyBorder="1" applyAlignment="1">
      <alignment horizontal="left"/>
    </xf>
    <xf numFmtId="1" fontId="1" fillId="0" borderId="49" xfId="0" applyNumberFormat="1" applyFont="1" applyBorder="1" applyAlignment="1">
      <alignment horizontal="left"/>
    </xf>
    <xf numFmtId="1" fontId="1" fillId="0" borderId="69" xfId="0" applyNumberFormat="1" applyFont="1" applyBorder="1" applyAlignment="1">
      <alignment horizontal="left"/>
    </xf>
    <xf numFmtId="2" fontId="4" fillId="0" borderId="49" xfId="0" applyNumberFormat="1" applyFont="1" applyBorder="1" applyAlignment="1">
      <alignment horizontal="left"/>
    </xf>
    <xf numFmtId="0" fontId="4" fillId="0" borderId="50" xfId="0" applyFont="1" applyBorder="1" applyAlignment="1">
      <alignment horizontal="left"/>
    </xf>
    <xf numFmtId="1" fontId="4" fillId="0" borderId="49" xfId="0" applyNumberFormat="1" applyFont="1" applyFill="1" applyBorder="1" applyAlignment="1">
      <alignment horizontal="left"/>
    </xf>
    <xf numFmtId="1" fontId="4" fillId="0" borderId="68" xfId="1" applyNumberFormat="1" applyFont="1" applyBorder="1" applyAlignment="1">
      <alignment horizontal="left"/>
    </xf>
    <xf numFmtId="1" fontId="4" fillId="0" borderId="49" xfId="1" applyNumberFormat="1" applyFont="1" applyBorder="1" applyAlignment="1">
      <alignment horizontal="left"/>
    </xf>
    <xf numFmtId="1" fontId="4" fillId="0" borderId="69" xfId="1" applyNumberFormat="1" applyFont="1" applyBorder="1" applyAlignment="1">
      <alignment horizontal="left"/>
    </xf>
    <xf numFmtId="1" fontId="1" fillId="0" borderId="17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1" fontId="5" fillId="0" borderId="1" xfId="0" applyNumberFormat="1" applyFont="1" applyBorder="1" applyAlignment="1">
      <alignment horizontal="left"/>
    </xf>
    <xf numFmtId="1" fontId="18" fillId="0" borderId="22" xfId="0" applyNumberFormat="1" applyFont="1" applyBorder="1" applyAlignment="1">
      <alignment horizontal="left" vertical="center"/>
    </xf>
    <xf numFmtId="1" fontId="29" fillId="0" borderId="65" xfId="0" applyNumberFormat="1" applyFont="1" applyBorder="1" applyAlignment="1">
      <alignment horizontal="left" vertical="center"/>
    </xf>
    <xf numFmtId="1" fontId="29" fillId="0" borderId="57" xfId="0" applyNumberFormat="1" applyFont="1" applyBorder="1" applyAlignment="1">
      <alignment horizontal="left" vertical="center"/>
    </xf>
    <xf numFmtId="1" fontId="18" fillId="0" borderId="21" xfId="0" applyNumberFormat="1" applyFont="1" applyBorder="1" applyAlignment="1">
      <alignment horizontal="left"/>
    </xf>
    <xf numFmtId="1" fontId="18" fillId="0" borderId="22" xfId="0" applyNumberFormat="1" applyFont="1" applyBorder="1" applyAlignment="1">
      <alignment horizontal="left"/>
    </xf>
    <xf numFmtId="1" fontId="18" fillId="0" borderId="20" xfId="2" applyNumberFormat="1" applyFont="1" applyBorder="1" applyAlignment="1">
      <alignment horizontal="left"/>
    </xf>
    <xf numFmtId="1" fontId="24" fillId="0" borderId="20" xfId="0" applyNumberFormat="1" applyFont="1" applyBorder="1" applyAlignment="1">
      <alignment horizontal="left"/>
    </xf>
    <xf numFmtId="1" fontId="18" fillId="0" borderId="22" xfId="0" applyNumberFormat="1" applyFont="1" applyFill="1" applyBorder="1" applyAlignment="1">
      <alignment horizontal="left"/>
    </xf>
    <xf numFmtId="1" fontId="18" fillId="0" borderId="20" xfId="1" applyNumberFormat="1" applyFont="1" applyBorder="1" applyAlignment="1">
      <alignment horizontal="left"/>
    </xf>
    <xf numFmtId="1" fontId="18" fillId="0" borderId="69" xfId="0" applyNumberFormat="1" applyFont="1" applyBorder="1" applyAlignment="1">
      <alignment horizontal="left" vertical="center"/>
    </xf>
    <xf numFmtId="1" fontId="18" fillId="0" borderId="49" xfId="0" applyNumberFormat="1" applyFont="1" applyBorder="1" applyAlignment="1">
      <alignment horizontal="left" vertical="center"/>
    </xf>
    <xf numFmtId="1" fontId="17" fillId="0" borderId="50" xfId="0" applyNumberFormat="1" applyFont="1" applyBorder="1" applyAlignment="1">
      <alignment horizontal="left"/>
    </xf>
    <xf numFmtId="1" fontId="17" fillId="0" borderId="68" xfId="0" applyNumberFormat="1" applyFont="1" applyBorder="1" applyAlignment="1">
      <alignment horizontal="left"/>
    </xf>
    <xf numFmtId="1" fontId="17" fillId="0" borderId="49" xfId="0" applyNumberFormat="1" applyFont="1" applyBorder="1" applyAlignment="1">
      <alignment horizontal="left"/>
    </xf>
    <xf numFmtId="2" fontId="17" fillId="0" borderId="49" xfId="0" applyNumberFormat="1" applyFont="1" applyBorder="1" applyAlignment="1">
      <alignment horizontal="left"/>
    </xf>
    <xf numFmtId="1" fontId="17" fillId="0" borderId="72" xfId="0" applyNumberFormat="1" applyFont="1" applyBorder="1" applyAlignment="1">
      <alignment horizontal="left"/>
    </xf>
    <xf numFmtId="0" fontId="17" fillId="0" borderId="69" xfId="0" applyFont="1" applyBorder="1" applyAlignment="1">
      <alignment horizontal="left"/>
    </xf>
    <xf numFmtId="0" fontId="17" fillId="0" borderId="49" xfId="0" applyFont="1" applyBorder="1" applyAlignment="1">
      <alignment horizontal="left"/>
    </xf>
    <xf numFmtId="0" fontId="19" fillId="0" borderId="50" xfId="0" applyFont="1" applyBorder="1" applyAlignment="1">
      <alignment horizontal="left"/>
    </xf>
    <xf numFmtId="1" fontId="17" fillId="0" borderId="49" xfId="0" applyNumberFormat="1" applyFont="1" applyFill="1" applyBorder="1" applyAlignment="1">
      <alignment horizontal="left"/>
    </xf>
    <xf numFmtId="1" fontId="17" fillId="0" borderId="50" xfId="1" applyNumberFormat="1" applyFont="1" applyBorder="1" applyAlignment="1">
      <alignment horizontal="left"/>
    </xf>
    <xf numFmtId="1" fontId="17" fillId="0" borderId="49" xfId="1" applyNumberFormat="1" applyFont="1" applyBorder="1" applyAlignment="1">
      <alignment horizontal="left"/>
    </xf>
    <xf numFmtId="1" fontId="18" fillId="0" borderId="50" xfId="0" applyNumberFormat="1" applyFont="1" applyBorder="1" applyAlignment="1">
      <alignment horizontal="left" vertical="center"/>
    </xf>
    <xf numFmtId="1" fontId="18" fillId="0" borderId="17" xfId="0" applyNumberFormat="1" applyFont="1" applyBorder="1" applyAlignment="1">
      <alignment horizontal="left" vertical="center"/>
    </xf>
    <xf numFmtId="0" fontId="21" fillId="0" borderId="16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21" fillId="0" borderId="58" xfId="0" applyFont="1" applyBorder="1" applyAlignment="1">
      <alignment horizontal="left"/>
    </xf>
    <xf numFmtId="0" fontId="21" fillId="0" borderId="59" xfId="0" applyFont="1" applyBorder="1" applyAlignment="1">
      <alignment horizontal="left"/>
    </xf>
    <xf numFmtId="0" fontId="21" fillId="0" borderId="18" xfId="0" applyFont="1" applyBorder="1" applyAlignment="1">
      <alignment horizontal="left"/>
    </xf>
    <xf numFmtId="0" fontId="22" fillId="0" borderId="16" xfId="0" applyFont="1" applyBorder="1" applyAlignment="1">
      <alignment horizontal="left"/>
    </xf>
    <xf numFmtId="3" fontId="27" fillId="0" borderId="3" xfId="0" applyNumberFormat="1" applyFont="1" applyBorder="1" applyAlignment="1">
      <alignment horizontal="left"/>
    </xf>
    <xf numFmtId="0" fontId="18" fillId="0" borderId="32" xfId="0" applyFont="1" applyBorder="1" applyAlignment="1">
      <alignment horizontal="left"/>
    </xf>
    <xf numFmtId="0" fontId="21" fillId="0" borderId="10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36" fillId="0" borderId="12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9" xfId="0" applyFont="1" applyBorder="1" applyAlignment="1">
      <alignment horizontal="left"/>
    </xf>
    <xf numFmtId="0" fontId="19" fillId="0" borderId="71" xfId="0" applyFont="1" applyBorder="1" applyAlignment="1">
      <alignment horizontal="left"/>
    </xf>
    <xf numFmtId="0" fontId="37" fillId="0" borderId="73" xfId="0" applyFont="1" applyBorder="1" applyAlignment="1">
      <alignment horizontal="left"/>
    </xf>
    <xf numFmtId="0" fontId="21" fillId="0" borderId="32" xfId="0" applyFont="1" applyBorder="1" applyAlignment="1">
      <alignment horizontal="left"/>
    </xf>
    <xf numFmtId="0" fontId="21" fillId="0" borderId="34" xfId="0" applyFont="1" applyBorder="1" applyAlignment="1">
      <alignment horizontal="left"/>
    </xf>
    <xf numFmtId="0" fontId="23" fillId="0" borderId="10" xfId="0" applyFont="1" applyBorder="1" applyAlignment="1">
      <alignment vertical="center"/>
    </xf>
    <xf numFmtId="2" fontId="22" fillId="0" borderId="16" xfId="0" applyNumberFormat="1" applyFont="1" applyBorder="1" applyAlignment="1">
      <alignment vertical="center"/>
    </xf>
    <xf numFmtId="2" fontId="23" fillId="0" borderId="16" xfId="0" applyNumberFormat="1" applyFont="1" applyBorder="1" applyAlignment="1">
      <alignment vertical="center"/>
    </xf>
    <xf numFmtId="2" fontId="22" fillId="0" borderId="24" xfId="0" applyNumberFormat="1" applyFont="1" applyBorder="1" applyAlignment="1">
      <alignment vertical="center"/>
    </xf>
    <xf numFmtId="2" fontId="22" fillId="0" borderId="17" xfId="0" applyNumberFormat="1" applyFont="1" applyBorder="1" applyAlignment="1">
      <alignment horizontal="right"/>
    </xf>
    <xf numFmtId="0" fontId="40" fillId="0" borderId="3" xfId="0" applyFont="1" applyBorder="1" applyAlignment="1">
      <alignment horizontal="left"/>
    </xf>
    <xf numFmtId="3" fontId="26" fillId="0" borderId="1" xfId="0" applyNumberFormat="1" applyFont="1" applyBorder="1" applyAlignment="1">
      <alignment horizontal="left"/>
    </xf>
    <xf numFmtId="172" fontId="26" fillId="0" borderId="1" xfId="0" applyNumberFormat="1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18" fillId="0" borderId="33" xfId="0" applyFont="1" applyBorder="1" applyAlignment="1">
      <alignment horizontal="left" vertical="center"/>
    </xf>
    <xf numFmtId="2" fontId="22" fillId="0" borderId="15" xfId="1" applyNumberFormat="1" applyFont="1" applyBorder="1" applyAlignment="1">
      <alignment horizontal="right"/>
    </xf>
    <xf numFmtId="1" fontId="19" fillId="0" borderId="29" xfId="0" applyNumberFormat="1" applyFont="1" applyFill="1" applyBorder="1" applyAlignment="1">
      <alignment horizontal="left" vertical="center" wrapText="1"/>
    </xf>
    <xf numFmtId="1" fontId="19" fillId="0" borderId="29" xfId="0" applyNumberFormat="1" applyFont="1" applyFill="1" applyBorder="1" applyAlignment="1">
      <alignment horizontal="left" vertical="top" wrapText="1"/>
    </xf>
    <xf numFmtId="1" fontId="1" fillId="0" borderId="29" xfId="0" applyNumberFormat="1" applyFont="1" applyFill="1" applyBorder="1" applyAlignment="1">
      <alignment horizontal="left" vertical="top" wrapText="1"/>
    </xf>
    <xf numFmtId="1" fontId="4" fillId="0" borderId="29" xfId="0" applyNumberFormat="1" applyFont="1" applyFill="1" applyBorder="1" applyAlignment="1">
      <alignment horizontal="left" vertical="top" wrapText="1"/>
    </xf>
    <xf numFmtId="1" fontId="19" fillId="0" borderId="30" xfId="0" applyNumberFormat="1" applyFont="1" applyFill="1" applyBorder="1" applyAlignment="1">
      <alignment horizontal="left" vertical="top" wrapText="1"/>
    </xf>
    <xf numFmtId="0" fontId="37" fillId="0" borderId="52" xfId="0" applyFont="1" applyBorder="1" applyAlignment="1">
      <alignment horizontal="left"/>
    </xf>
    <xf numFmtId="2" fontId="17" fillId="0" borderId="6" xfId="0" applyNumberFormat="1" applyFont="1" applyBorder="1" applyAlignment="1">
      <alignment horizontal="left"/>
    </xf>
    <xf numFmtId="1" fontId="27" fillId="0" borderId="0" xfId="0" applyNumberFormat="1" applyFont="1" applyFill="1" applyAlignment="1">
      <alignment horizontal="left"/>
    </xf>
    <xf numFmtId="0" fontId="2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0" fontId="34" fillId="0" borderId="0" xfId="0" applyFont="1" applyBorder="1" applyAlignment="1">
      <alignment horizontal="left"/>
    </xf>
    <xf numFmtId="172" fontId="24" fillId="0" borderId="2" xfId="0" applyNumberFormat="1" applyFont="1" applyBorder="1" applyAlignment="1">
      <alignment horizontal="left"/>
    </xf>
    <xf numFmtId="2" fontId="29" fillId="0" borderId="8" xfId="0" applyNumberFormat="1" applyFont="1" applyBorder="1" applyAlignment="1">
      <alignment horizontal="left" vertical="center"/>
    </xf>
    <xf numFmtId="172" fontId="24" fillId="0" borderId="33" xfId="0" applyNumberFormat="1" applyFont="1" applyBorder="1" applyAlignment="1">
      <alignment horizontal="left"/>
    </xf>
    <xf numFmtId="172" fontId="24" fillId="0" borderId="11" xfId="0" applyNumberFormat="1" applyFont="1" applyBorder="1" applyAlignment="1">
      <alignment horizontal="left"/>
    </xf>
    <xf numFmtId="1" fontId="18" fillId="0" borderId="13" xfId="0" applyNumberFormat="1" applyFont="1" applyBorder="1" applyAlignment="1">
      <alignment horizontal="left"/>
    </xf>
    <xf numFmtId="1" fontId="17" fillId="0" borderId="69" xfId="0" applyNumberFormat="1" applyFont="1" applyBorder="1" applyAlignment="1">
      <alignment horizontal="left"/>
    </xf>
    <xf numFmtId="2" fontId="17" fillId="0" borderId="69" xfId="0" applyNumberFormat="1" applyFont="1" applyBorder="1" applyAlignment="1">
      <alignment horizontal="left"/>
    </xf>
    <xf numFmtId="2" fontId="22" fillId="0" borderId="28" xfId="0" applyNumberFormat="1" applyFont="1" applyFill="1" applyBorder="1" applyAlignment="1">
      <alignment horizontal="left"/>
    </xf>
    <xf numFmtId="2" fontId="22" fillId="0" borderId="13" xfId="0" applyNumberFormat="1" applyFont="1" applyFill="1" applyBorder="1" applyAlignment="1">
      <alignment horizontal="left"/>
    </xf>
    <xf numFmtId="2" fontId="22" fillId="0" borderId="23" xfId="0" applyNumberFormat="1" applyFont="1" applyFill="1" applyBorder="1" applyAlignment="1">
      <alignment horizontal="left"/>
    </xf>
    <xf numFmtId="2" fontId="22" fillId="0" borderId="41" xfId="0" applyNumberFormat="1" applyFont="1" applyFill="1" applyBorder="1" applyAlignment="1">
      <alignment horizontal="left"/>
    </xf>
    <xf numFmtId="172" fontId="26" fillId="0" borderId="7" xfId="0" applyNumberFormat="1" applyFont="1" applyBorder="1" applyAlignment="1">
      <alignment horizontal="left"/>
    </xf>
    <xf numFmtId="172" fontId="26" fillId="0" borderId="19" xfId="0" applyNumberFormat="1" applyFon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21" fillId="0" borderId="31" xfId="0" applyFont="1" applyBorder="1" applyAlignment="1">
      <alignment horizontal="left"/>
    </xf>
    <xf numFmtId="1" fontId="27" fillId="0" borderId="16" xfId="0" applyNumberFormat="1" applyFont="1" applyBorder="1" applyAlignment="1">
      <alignment horizontal="left"/>
    </xf>
    <xf numFmtId="0" fontId="25" fillId="0" borderId="49" xfId="0" applyFont="1" applyBorder="1" applyAlignment="1">
      <alignment horizontal="left" vertical="center"/>
    </xf>
    <xf numFmtId="1" fontId="27" fillId="0" borderId="3" xfId="0" applyNumberFormat="1" applyFont="1" applyFill="1" applyBorder="1" applyAlignment="1">
      <alignment horizontal="left"/>
    </xf>
    <xf numFmtId="1" fontId="27" fillId="0" borderId="22" xfId="0" applyNumberFormat="1" applyFont="1" applyFill="1" applyBorder="1" applyAlignment="1">
      <alignment horizontal="left"/>
    </xf>
    <xf numFmtId="1" fontId="43" fillId="0" borderId="70" xfId="0" applyNumberFormat="1" applyFont="1" applyFill="1" applyBorder="1" applyAlignment="1">
      <alignment horizontal="left"/>
    </xf>
    <xf numFmtId="1" fontId="42" fillId="0" borderId="70" xfId="0" applyNumberFormat="1" applyFont="1" applyBorder="1" applyAlignment="1">
      <alignment horizontal="left"/>
    </xf>
    <xf numFmtId="1" fontId="25" fillId="0" borderId="71" xfId="0" applyNumberFormat="1" applyFont="1" applyBorder="1" applyAlignment="1">
      <alignment horizontal="left"/>
    </xf>
    <xf numFmtId="1" fontId="21" fillId="0" borderId="73" xfId="0" applyNumberFormat="1" applyFont="1" applyBorder="1" applyAlignment="1">
      <alignment horizontal="left"/>
    </xf>
    <xf numFmtId="1" fontId="42" fillId="0" borderId="39" xfId="0" applyNumberFormat="1" applyFont="1" applyBorder="1" applyAlignment="1">
      <alignment horizontal="left"/>
    </xf>
    <xf numFmtId="1" fontId="22" fillId="0" borderId="32" xfId="0" applyNumberFormat="1" applyFont="1" applyBorder="1" applyAlignment="1">
      <alignment horizontal="left" vertical="center"/>
    </xf>
    <xf numFmtId="1" fontId="27" fillId="0" borderId="15" xfId="0" applyNumberFormat="1" applyFont="1" applyBorder="1" applyAlignment="1">
      <alignment horizontal="left"/>
    </xf>
    <xf numFmtId="2" fontId="27" fillId="0" borderId="3" xfId="0" applyNumberFormat="1" applyFont="1" applyFill="1" applyBorder="1" applyAlignment="1">
      <alignment horizontal="left"/>
    </xf>
    <xf numFmtId="2" fontId="27" fillId="0" borderId="3" xfId="1" applyNumberFormat="1" applyFont="1" applyBorder="1" applyAlignment="1">
      <alignment horizontal="left"/>
    </xf>
    <xf numFmtId="1" fontId="27" fillId="0" borderId="16" xfId="1" applyNumberFormat="1" applyFont="1" applyBorder="1" applyAlignment="1">
      <alignment horizontal="left"/>
    </xf>
    <xf numFmtId="1" fontId="40" fillId="0" borderId="63" xfId="1" applyNumberFormat="1" applyFont="1" applyBorder="1" applyAlignment="1">
      <alignment horizontal="left"/>
    </xf>
    <xf numFmtId="1" fontId="44" fillId="0" borderId="30" xfId="0" applyNumberFormat="1" applyFont="1" applyFill="1" applyBorder="1" applyAlignment="1">
      <alignment horizontal="left" vertical="top" wrapText="1"/>
    </xf>
    <xf numFmtId="1" fontId="44" fillId="0" borderId="12" xfId="0" applyNumberFormat="1" applyFont="1" applyFill="1" applyBorder="1" applyAlignment="1">
      <alignment horizontal="left" vertical="center"/>
    </xf>
    <xf numFmtId="1" fontId="44" fillId="0" borderId="22" xfId="0" applyNumberFormat="1" applyFont="1" applyFill="1" applyBorder="1" applyAlignment="1">
      <alignment horizontal="left" vertical="center"/>
    </xf>
    <xf numFmtId="1" fontId="44" fillId="0" borderId="19" xfId="0" applyNumberFormat="1" applyFont="1" applyBorder="1" applyAlignment="1">
      <alignment horizontal="left" vertical="center"/>
    </xf>
    <xf numFmtId="1" fontId="44" fillId="0" borderId="19" xfId="0" applyNumberFormat="1" applyFont="1" applyFill="1" applyBorder="1" applyAlignment="1">
      <alignment horizontal="left" vertical="center"/>
    </xf>
    <xf numFmtId="1" fontId="45" fillId="0" borderId="2" xfId="1" applyNumberFormat="1" applyFont="1" applyBorder="1" applyAlignment="1">
      <alignment horizontal="left"/>
    </xf>
    <xf numFmtId="1" fontId="44" fillId="0" borderId="0" xfId="0" applyNumberFormat="1" applyFont="1" applyFill="1" applyAlignment="1">
      <alignment horizontal="left"/>
    </xf>
    <xf numFmtId="1" fontId="45" fillId="0" borderId="29" xfId="0" applyNumberFormat="1" applyFont="1" applyFill="1" applyBorder="1" applyAlignment="1">
      <alignment horizontal="left" vertical="top" wrapText="1"/>
    </xf>
    <xf numFmtId="1" fontId="44" fillId="0" borderId="1" xfId="0" applyNumberFormat="1" applyFont="1" applyBorder="1" applyAlignment="1">
      <alignment horizontal="left" vertical="center"/>
    </xf>
    <xf numFmtId="1" fontId="44" fillId="0" borderId="15" xfId="0" applyNumberFormat="1" applyFont="1" applyBorder="1" applyAlignment="1">
      <alignment horizontal="left" vertical="center"/>
    </xf>
    <xf numFmtId="1" fontId="45" fillId="0" borderId="0" xfId="0" applyNumberFormat="1" applyFont="1" applyAlignment="1">
      <alignment horizontal="left"/>
    </xf>
    <xf numFmtId="1" fontId="45" fillId="0" borderId="1" xfId="0" applyNumberFormat="1" applyFont="1" applyBorder="1" applyAlignment="1">
      <alignment horizontal="left" vertical="center"/>
    </xf>
    <xf numFmtId="0" fontId="46" fillId="0" borderId="29" xfId="0" applyFont="1" applyBorder="1" applyAlignment="1">
      <alignment horizontal="left"/>
    </xf>
    <xf numFmtId="0" fontId="47" fillId="0" borderId="29" xfId="0" applyFont="1" applyBorder="1"/>
    <xf numFmtId="2" fontId="48" fillId="0" borderId="15" xfId="0" applyNumberFormat="1" applyFont="1" applyBorder="1" applyAlignment="1">
      <alignment vertical="center"/>
    </xf>
    <xf numFmtId="2" fontId="48" fillId="0" borderId="16" xfId="0" applyNumberFormat="1" applyFont="1" applyBorder="1" applyAlignment="1">
      <alignment vertical="center"/>
    </xf>
    <xf numFmtId="2" fontId="48" fillId="0" borderId="16" xfId="0" applyNumberFormat="1" applyFont="1" applyBorder="1" applyAlignment="1">
      <alignment horizontal="right"/>
    </xf>
    <xf numFmtId="2" fontId="48" fillId="0" borderId="15" xfId="0" applyNumberFormat="1" applyFont="1" applyBorder="1" applyAlignment="1">
      <alignment horizontal="right"/>
    </xf>
    <xf numFmtId="2" fontId="44" fillId="0" borderId="16" xfId="0" applyNumberFormat="1" applyFont="1" applyBorder="1" applyAlignment="1">
      <alignment horizontal="right"/>
    </xf>
    <xf numFmtId="2" fontId="44" fillId="0" borderId="16" xfId="0" applyNumberFormat="1" applyFont="1" applyBorder="1" applyAlignment="1">
      <alignment horizontal="left"/>
    </xf>
    <xf numFmtId="2" fontId="48" fillId="0" borderId="16" xfId="1" applyNumberFormat="1" applyFont="1" applyBorder="1" applyAlignment="1">
      <alignment horizontal="right"/>
    </xf>
    <xf numFmtId="2" fontId="48" fillId="0" borderId="16" xfId="0" applyNumberFormat="1" applyFont="1" applyBorder="1" applyAlignment="1">
      <alignment horizontal="right" wrapText="1"/>
    </xf>
    <xf numFmtId="3" fontId="46" fillId="0" borderId="16" xfId="0" applyNumberFormat="1" applyFont="1" applyBorder="1" applyAlignment="1">
      <alignment horizontal="right"/>
    </xf>
    <xf numFmtId="2" fontId="48" fillId="0" borderId="16" xfId="0" applyNumberFormat="1" applyFont="1" applyFill="1" applyBorder="1" applyAlignment="1">
      <alignment horizontal="right"/>
    </xf>
    <xf numFmtId="0" fontId="47" fillId="0" borderId="0" xfId="0" applyFont="1"/>
    <xf numFmtId="0" fontId="46" fillId="0" borderId="61" xfId="0" applyFont="1" applyBorder="1" applyAlignment="1">
      <alignment horizontal="left"/>
    </xf>
    <xf numFmtId="0" fontId="47" fillId="0" borderId="61" xfId="0" applyFont="1" applyBorder="1"/>
    <xf numFmtId="2" fontId="48" fillId="0" borderId="53" xfId="0" applyNumberFormat="1" applyFont="1" applyBorder="1" applyAlignment="1">
      <alignment vertical="center"/>
    </xf>
    <xf numFmtId="2" fontId="48" fillId="0" borderId="57" xfId="0" applyNumberFormat="1" applyFont="1" applyBorder="1" applyAlignment="1">
      <alignment vertical="center"/>
    </xf>
    <xf numFmtId="2" fontId="48" fillId="0" borderId="57" xfId="0" applyNumberFormat="1" applyFont="1" applyBorder="1" applyAlignment="1">
      <alignment horizontal="right"/>
    </xf>
    <xf numFmtId="2" fontId="48" fillId="0" borderId="53" xfId="0" applyNumberFormat="1" applyFont="1" applyBorder="1" applyAlignment="1">
      <alignment horizontal="right"/>
    </xf>
    <xf numFmtId="2" fontId="44" fillId="0" borderId="57" xfId="0" applyNumberFormat="1" applyFont="1" applyBorder="1" applyAlignment="1">
      <alignment horizontal="right"/>
    </xf>
    <xf numFmtId="2" fontId="46" fillId="0" borderId="57" xfId="0" applyNumberFormat="1" applyFont="1" applyBorder="1" applyAlignment="1">
      <alignment horizontal="left"/>
    </xf>
    <xf numFmtId="2" fontId="48" fillId="0" borderId="57" xfId="1" applyNumberFormat="1" applyFont="1" applyBorder="1" applyAlignment="1">
      <alignment horizontal="right"/>
    </xf>
    <xf numFmtId="2" fontId="48" fillId="0" borderId="57" xfId="0" applyNumberFormat="1" applyFont="1" applyBorder="1" applyAlignment="1">
      <alignment horizontal="right" wrapText="1"/>
    </xf>
    <xf numFmtId="3" fontId="46" fillId="0" borderId="57" xfId="0" applyNumberFormat="1" applyFont="1" applyBorder="1" applyAlignment="1">
      <alignment horizontal="right"/>
    </xf>
    <xf numFmtId="2" fontId="48" fillId="0" borderId="57" xfId="0" applyNumberFormat="1" applyFont="1" applyFill="1" applyBorder="1" applyAlignment="1">
      <alignment horizontal="right"/>
    </xf>
    <xf numFmtId="2" fontId="48" fillId="0" borderId="16" xfId="2" applyNumberFormat="1" applyFont="1" applyBorder="1" applyAlignment="1">
      <alignment horizontal="right"/>
    </xf>
    <xf numFmtId="2" fontId="44" fillId="0" borderId="15" xfId="1" applyNumberFormat="1" applyFont="1" applyBorder="1" applyAlignment="1">
      <alignment horizontal="right"/>
    </xf>
    <xf numFmtId="2" fontId="44" fillId="0" borderId="16" xfId="1" applyNumberFormat="1" applyFont="1" applyBorder="1" applyAlignment="1">
      <alignment horizontal="right"/>
    </xf>
    <xf numFmtId="1" fontId="27" fillId="0" borderId="35" xfId="0" applyNumberFormat="1" applyFont="1" applyBorder="1" applyAlignment="1">
      <alignment horizontal="left"/>
    </xf>
    <xf numFmtId="2" fontId="49" fillId="0" borderId="19" xfId="0" applyNumberFormat="1" applyFont="1" applyBorder="1" applyAlignment="1">
      <alignment horizontal="left" vertical="center"/>
    </xf>
    <xf numFmtId="2" fontId="49" fillId="0" borderId="22" xfId="0" applyNumberFormat="1" applyFont="1" applyBorder="1" applyAlignment="1">
      <alignment horizontal="left" vertical="center"/>
    </xf>
    <xf numFmtId="2" fontId="18" fillId="0" borderId="20" xfId="0" applyNumberFormat="1" applyFont="1" applyBorder="1" applyAlignment="1">
      <alignment horizontal="left"/>
    </xf>
    <xf numFmtId="2" fontId="18" fillId="0" borderId="21" xfId="0" applyNumberFormat="1" applyFont="1" applyBorder="1" applyAlignment="1">
      <alignment horizontal="left"/>
    </xf>
    <xf numFmtId="2" fontId="18" fillId="0" borderId="23" xfId="0" applyNumberFormat="1" applyFont="1" applyBorder="1" applyAlignment="1">
      <alignment horizontal="left"/>
    </xf>
    <xf numFmtId="2" fontId="18" fillId="0" borderId="19" xfId="0" applyNumberFormat="1" applyFont="1" applyBorder="1" applyAlignment="1">
      <alignment horizontal="left"/>
    </xf>
    <xf numFmtId="2" fontId="18" fillId="0" borderId="22" xfId="0" applyNumberFormat="1" applyFont="1" applyBorder="1" applyAlignment="1">
      <alignment horizontal="left"/>
    </xf>
    <xf numFmtId="2" fontId="49" fillId="0" borderId="19" xfId="0" applyNumberFormat="1" applyFont="1" applyBorder="1" applyAlignment="1">
      <alignment horizontal="left"/>
    </xf>
    <xf numFmtId="2" fontId="49" fillId="0" borderId="21" xfId="0" applyNumberFormat="1" applyFont="1" applyBorder="1" applyAlignment="1">
      <alignment horizontal="left"/>
    </xf>
    <xf numFmtId="2" fontId="49" fillId="0" borderId="22" xfId="0" applyNumberFormat="1" applyFont="1" applyBorder="1" applyAlignment="1">
      <alignment horizontal="left"/>
    </xf>
    <xf numFmtId="2" fontId="49" fillId="0" borderId="23" xfId="0" applyNumberFormat="1" applyFont="1" applyBorder="1" applyAlignment="1">
      <alignment horizontal="left"/>
    </xf>
    <xf numFmtId="2" fontId="18" fillId="0" borderId="21" xfId="0" applyNumberFormat="1" applyFont="1" applyFill="1" applyBorder="1" applyAlignment="1">
      <alignment horizontal="left"/>
    </xf>
    <xf numFmtId="2" fontId="18" fillId="0" borderId="19" xfId="1" applyNumberFormat="1" applyFont="1" applyBorder="1" applyAlignment="1">
      <alignment horizontal="left"/>
    </xf>
    <xf numFmtId="2" fontId="18" fillId="0" borderId="23" xfId="1" applyNumberFormat="1" applyFont="1" applyBorder="1" applyAlignment="1">
      <alignment horizontal="left"/>
    </xf>
    <xf numFmtId="2" fontId="18" fillId="0" borderId="22" xfId="1" applyNumberFormat="1" applyFont="1" applyBorder="1" applyAlignment="1">
      <alignment horizontal="left"/>
    </xf>
    <xf numFmtId="2" fontId="18" fillId="0" borderId="19" xfId="0" applyNumberFormat="1" applyFont="1" applyBorder="1" applyAlignment="1">
      <alignment horizontal="left" vertical="center"/>
    </xf>
    <xf numFmtId="2" fontId="18" fillId="0" borderId="22" xfId="0" applyNumberFormat="1" applyFont="1" applyBorder="1" applyAlignment="1">
      <alignment horizontal="left" vertical="center"/>
    </xf>
    <xf numFmtId="2" fontId="29" fillId="0" borderId="65" xfId="0" applyNumberFormat="1" applyFont="1" applyBorder="1" applyAlignment="1">
      <alignment horizontal="left" vertical="center"/>
    </xf>
    <xf numFmtId="2" fontId="29" fillId="0" borderId="66" xfId="0" applyNumberFormat="1" applyFont="1" applyBorder="1" applyAlignment="1">
      <alignment horizontal="left" vertical="center"/>
    </xf>
    <xf numFmtId="1" fontId="18" fillId="0" borderId="15" xfId="0" applyNumberFormat="1" applyFont="1" applyBorder="1" applyAlignment="1">
      <alignment horizontal="left" vertical="center"/>
    </xf>
    <xf numFmtId="1" fontId="17" fillId="0" borderId="13" xfId="0" applyNumberFormat="1" applyFont="1" applyBorder="1" applyAlignment="1">
      <alignment horizontal="left"/>
    </xf>
    <xf numFmtId="1" fontId="45" fillId="0" borderId="13" xfId="0" applyNumberFormat="1" applyFont="1" applyBorder="1" applyAlignment="1">
      <alignment horizontal="left"/>
    </xf>
    <xf numFmtId="2" fontId="17" fillId="0" borderId="74" xfId="0" applyNumberFormat="1" applyFont="1" applyBorder="1" applyAlignment="1">
      <alignment horizontal="left"/>
    </xf>
    <xf numFmtId="1" fontId="18" fillId="0" borderId="67" xfId="0" applyNumberFormat="1" applyFont="1" applyBorder="1" applyAlignment="1">
      <alignment horizontal="left"/>
    </xf>
    <xf numFmtId="1" fontId="44" fillId="0" borderId="28" xfId="0" applyNumberFormat="1" applyFont="1" applyBorder="1" applyAlignment="1">
      <alignment horizontal="left" vertical="center"/>
    </xf>
    <xf numFmtId="2" fontId="17" fillId="0" borderId="74" xfId="1" applyNumberFormat="1" applyFont="1" applyBorder="1" applyAlignment="1">
      <alignment horizontal="left"/>
    </xf>
    <xf numFmtId="2" fontId="17" fillId="0" borderId="13" xfId="1" applyNumberFormat="1" applyFont="1" applyBorder="1" applyAlignment="1">
      <alignment horizontal="left"/>
    </xf>
    <xf numFmtId="2" fontId="17" fillId="0" borderId="67" xfId="1" applyNumberFormat="1" applyFont="1" applyBorder="1" applyAlignment="1">
      <alignment horizontal="left"/>
    </xf>
    <xf numFmtId="1" fontId="45" fillId="0" borderId="13" xfId="0" applyNumberFormat="1" applyFont="1" applyFill="1" applyBorder="1" applyAlignment="1">
      <alignment horizontal="left"/>
    </xf>
    <xf numFmtId="1" fontId="45" fillId="0" borderId="28" xfId="0" applyNumberFormat="1" applyFont="1" applyFill="1" applyBorder="1" applyAlignment="1">
      <alignment horizontal="left" vertical="center" shrinkToFit="1"/>
    </xf>
    <xf numFmtId="2" fontId="17" fillId="0" borderId="74" xfId="0" applyNumberFormat="1" applyFont="1" applyFill="1" applyBorder="1" applyAlignment="1">
      <alignment horizontal="left"/>
    </xf>
    <xf numFmtId="1" fontId="17" fillId="0" borderId="67" xfId="0" applyNumberFormat="1" applyFont="1" applyFill="1" applyBorder="1" applyAlignment="1">
      <alignment horizontal="left"/>
    </xf>
    <xf numFmtId="1" fontId="44" fillId="0" borderId="38" xfId="0" applyNumberFormat="1" applyFont="1" applyFill="1" applyBorder="1" applyAlignment="1">
      <alignment horizontal="left" vertical="center"/>
    </xf>
    <xf numFmtId="2" fontId="17" fillId="0" borderId="32" xfId="1" applyNumberFormat="1" applyFont="1" applyBorder="1" applyAlignment="1">
      <alignment horizontal="left"/>
    </xf>
    <xf numFmtId="1" fontId="17" fillId="0" borderId="28" xfId="0" applyNumberFormat="1" applyFont="1" applyFill="1" applyBorder="1" applyAlignment="1">
      <alignment horizontal="left" vertical="center" shrinkToFit="1"/>
    </xf>
    <xf numFmtId="2" fontId="17" fillId="0" borderId="74" xfId="0" applyNumberFormat="1" applyFont="1" applyFill="1" applyBorder="1" applyAlignment="1">
      <alignment horizontal="left" vertical="center" wrapText="1"/>
    </xf>
    <xf numFmtId="1" fontId="17" fillId="0" borderId="13" xfId="0" applyNumberFormat="1" applyFont="1" applyFill="1" applyBorder="1" applyAlignment="1">
      <alignment horizontal="left" wrapText="1"/>
    </xf>
    <xf numFmtId="1" fontId="17" fillId="0" borderId="1" xfId="0" applyNumberFormat="1" applyFont="1" applyFill="1" applyBorder="1" applyAlignment="1">
      <alignment horizontal="left"/>
    </xf>
    <xf numFmtId="1" fontId="45" fillId="0" borderId="48" xfId="0" applyNumberFormat="1" applyFont="1" applyFill="1" applyBorder="1" applyAlignment="1">
      <alignment horizontal="left" vertical="center" shrinkToFit="1"/>
    </xf>
    <xf numFmtId="2" fontId="17" fillId="0" borderId="32" xfId="0" applyNumberFormat="1" applyFont="1" applyFill="1" applyBorder="1" applyAlignment="1">
      <alignment horizontal="left"/>
    </xf>
    <xf numFmtId="1" fontId="17" fillId="0" borderId="12" xfId="0" applyNumberFormat="1" applyFont="1" applyFill="1" applyBorder="1" applyAlignment="1">
      <alignment horizontal="left"/>
    </xf>
    <xf numFmtId="1" fontId="45" fillId="0" borderId="13" xfId="0" applyNumberFormat="1" applyFont="1" applyBorder="1" applyAlignment="1">
      <alignment horizontal="left" vertical="center"/>
    </xf>
    <xf numFmtId="1" fontId="44" fillId="0" borderId="13" xfId="0" applyNumberFormat="1" applyFont="1" applyBorder="1" applyAlignment="1">
      <alignment horizontal="left" vertical="center"/>
    </xf>
    <xf numFmtId="1" fontId="44" fillId="0" borderId="23" xfId="0" applyNumberFormat="1" applyFont="1" applyFill="1" applyBorder="1" applyAlignment="1">
      <alignment horizontal="left" vertical="center"/>
    </xf>
    <xf numFmtId="1" fontId="17" fillId="0" borderId="67" xfId="0" applyNumberFormat="1" applyFont="1" applyBorder="1" applyAlignment="1">
      <alignment horizontal="left"/>
    </xf>
    <xf numFmtId="1" fontId="17" fillId="0" borderId="1" xfId="0" applyNumberFormat="1" applyFont="1" applyBorder="1" applyAlignment="1">
      <alignment horizontal="left" wrapText="1"/>
    </xf>
    <xf numFmtId="1" fontId="17" fillId="0" borderId="19" xfId="0" applyNumberFormat="1" applyFont="1" applyBorder="1" applyAlignment="1">
      <alignment horizontal="left" wrapText="1"/>
    </xf>
    <xf numFmtId="1" fontId="17" fillId="0" borderId="12" xfId="0" applyNumberFormat="1" applyFont="1" applyBorder="1" applyAlignment="1">
      <alignment horizontal="left" wrapText="1"/>
    </xf>
    <xf numFmtId="1" fontId="1" fillId="0" borderId="13" xfId="0" applyNumberFormat="1" applyFont="1" applyBorder="1" applyAlignment="1">
      <alignment horizontal="left"/>
    </xf>
    <xf numFmtId="1" fontId="1" fillId="0" borderId="23" xfId="0" applyNumberFormat="1" applyFont="1" applyBorder="1" applyAlignment="1">
      <alignment horizontal="left"/>
    </xf>
    <xf numFmtId="1" fontId="1" fillId="0" borderId="67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1" fillId="0" borderId="19" xfId="0" applyNumberFormat="1" applyFont="1" applyBorder="1" applyAlignment="1">
      <alignment horizontal="left"/>
    </xf>
    <xf numFmtId="1" fontId="1" fillId="0" borderId="12" xfId="0" applyNumberFormat="1" applyFont="1" applyBorder="1" applyAlignment="1">
      <alignment horizontal="left"/>
    </xf>
    <xf numFmtId="1" fontId="17" fillId="0" borderId="13" xfId="2" applyNumberFormat="1" applyFont="1" applyBorder="1" applyAlignment="1">
      <alignment horizontal="left"/>
    </xf>
    <xf numFmtId="2" fontId="17" fillId="0" borderId="74" xfId="2" applyNumberFormat="1" applyFont="1" applyBorder="1" applyAlignment="1">
      <alignment horizontal="left"/>
    </xf>
    <xf numFmtId="1" fontId="18" fillId="0" borderId="75" xfId="0" applyNumberFormat="1" applyFont="1" applyBorder="1" applyAlignment="1">
      <alignment horizontal="left" vertical="center"/>
    </xf>
    <xf numFmtId="1" fontId="44" fillId="0" borderId="75" xfId="0" applyNumberFormat="1" applyFont="1" applyBorder="1" applyAlignment="1">
      <alignment horizontal="left" vertical="center"/>
    </xf>
    <xf numFmtId="2" fontId="17" fillId="0" borderId="59" xfId="0" applyNumberFormat="1" applyFont="1" applyBorder="1" applyAlignment="1">
      <alignment horizontal="left"/>
    </xf>
    <xf numFmtId="1" fontId="17" fillId="0" borderId="19" xfId="2" applyNumberFormat="1" applyFont="1" applyBorder="1" applyAlignment="1">
      <alignment horizontal="left"/>
    </xf>
    <xf numFmtId="2" fontId="17" fillId="0" borderId="32" xfId="2" applyNumberFormat="1" applyFont="1" applyBorder="1" applyAlignment="1">
      <alignment horizontal="left"/>
    </xf>
    <xf numFmtId="2" fontId="18" fillId="0" borderId="12" xfId="0" applyNumberFormat="1" applyFont="1" applyBorder="1" applyAlignment="1">
      <alignment horizontal="left"/>
    </xf>
    <xf numFmtId="2" fontId="17" fillId="0" borderId="70" xfId="0" applyNumberFormat="1" applyFont="1" applyBorder="1" applyAlignment="1">
      <alignment horizontal="left"/>
    </xf>
    <xf numFmtId="1" fontId="18" fillId="0" borderId="13" xfId="0" applyNumberFormat="1" applyFont="1" applyBorder="1" applyAlignment="1">
      <alignment horizontal="left" vertical="center"/>
    </xf>
    <xf numFmtId="1" fontId="44" fillId="0" borderId="67" xfId="0" applyNumberFormat="1" applyFont="1" applyFill="1" applyBorder="1" applyAlignment="1">
      <alignment horizontal="left" vertical="center"/>
    </xf>
    <xf numFmtId="1" fontId="18" fillId="0" borderId="15" xfId="0" applyNumberFormat="1" applyFont="1" applyBorder="1" applyAlignment="1">
      <alignment horizontal="left" vertical="center"/>
    </xf>
    <xf numFmtId="1" fontId="23" fillId="0" borderId="28" xfId="0" applyNumberFormat="1" applyFont="1" applyBorder="1" applyAlignment="1">
      <alignment horizontal="left" vertical="center"/>
    </xf>
    <xf numFmtId="1" fontId="22" fillId="0" borderId="74" xfId="0" applyNumberFormat="1" applyFont="1" applyBorder="1" applyAlignment="1">
      <alignment horizontal="left"/>
    </xf>
    <xf numFmtId="1" fontId="22" fillId="0" borderId="30" xfId="0" applyNumberFormat="1" applyFont="1" applyBorder="1" applyAlignment="1">
      <alignment horizontal="left" vertical="center"/>
    </xf>
    <xf numFmtId="1" fontId="22" fillId="0" borderId="74" xfId="0" applyNumberFormat="1" applyFont="1" applyBorder="1" applyAlignment="1">
      <alignment horizontal="left" vertical="center"/>
    </xf>
    <xf numFmtId="1" fontId="22" fillId="0" borderId="19" xfId="0" applyNumberFormat="1" applyFont="1" applyBorder="1" applyAlignment="1">
      <alignment horizontal="left"/>
    </xf>
    <xf numFmtId="1" fontId="22" fillId="0" borderId="32" xfId="0" applyNumberFormat="1" applyFont="1" applyBorder="1" applyAlignment="1">
      <alignment horizontal="left"/>
    </xf>
    <xf numFmtId="1" fontId="42" fillId="0" borderId="41" xfId="0" applyNumberFormat="1" applyFont="1" applyBorder="1" applyAlignment="1">
      <alignment horizontal="left"/>
    </xf>
    <xf numFmtId="1" fontId="23" fillId="0" borderId="32" xfId="0" applyNumberFormat="1" applyFont="1" applyBorder="1" applyAlignment="1">
      <alignment horizontal="left" vertical="center"/>
    </xf>
    <xf numFmtId="1" fontId="22" fillId="0" borderId="74" xfId="1" applyNumberFormat="1" applyFont="1" applyBorder="1" applyAlignment="1">
      <alignment horizontal="left"/>
    </xf>
    <xf numFmtId="1" fontId="21" fillId="0" borderId="6" xfId="0" applyNumberFormat="1" applyFont="1" applyBorder="1" applyAlignment="1">
      <alignment horizontal="left"/>
    </xf>
    <xf numFmtId="1" fontId="22" fillId="0" borderId="74" xfId="0" applyNumberFormat="1" applyFont="1" applyFill="1" applyBorder="1" applyAlignment="1">
      <alignment horizontal="left"/>
    </xf>
    <xf numFmtId="1" fontId="22" fillId="0" borderId="32" xfId="1" applyNumberFormat="1" applyFont="1" applyBorder="1" applyAlignment="1">
      <alignment horizontal="left"/>
    </xf>
    <xf numFmtId="1" fontId="50" fillId="0" borderId="28" xfId="0" applyNumberFormat="1" applyFont="1" applyBorder="1" applyAlignment="1">
      <alignment horizontal="left"/>
    </xf>
    <xf numFmtId="1" fontId="22" fillId="0" borderId="19" xfId="0" applyNumberFormat="1" applyFont="1" applyFill="1" applyBorder="1" applyAlignment="1">
      <alignment horizontal="left"/>
    </xf>
    <xf numFmtId="1" fontId="22" fillId="0" borderId="32" xfId="0" applyNumberFormat="1" applyFont="1" applyFill="1" applyBorder="1" applyAlignment="1">
      <alignment horizontal="left"/>
    </xf>
    <xf numFmtId="1" fontId="50" fillId="0" borderId="7" xfId="0" applyNumberFormat="1" applyFont="1" applyBorder="1" applyAlignment="1">
      <alignment horizontal="left"/>
    </xf>
    <xf numFmtId="1" fontId="50" fillId="0" borderId="1" xfId="0" applyNumberFormat="1" applyFont="1" applyBorder="1" applyAlignment="1">
      <alignment horizontal="left"/>
    </xf>
    <xf numFmtId="1" fontId="50" fillId="0" borderId="19" xfId="0" applyNumberFormat="1" applyFont="1" applyBorder="1" applyAlignment="1">
      <alignment horizontal="left"/>
    </xf>
    <xf numFmtId="1" fontId="22" fillId="0" borderId="19" xfId="0" applyNumberFormat="1" applyFont="1" applyBorder="1" applyAlignment="1">
      <alignment horizontal="left" wrapText="1"/>
    </xf>
    <xf numFmtId="1" fontId="22" fillId="0" borderId="32" xfId="0" applyNumberFormat="1" applyFont="1" applyBorder="1" applyAlignment="1">
      <alignment horizontal="left" wrapText="1"/>
    </xf>
    <xf numFmtId="1" fontId="5" fillId="0" borderId="19" xfId="0" applyNumberFormat="1" applyFont="1" applyBorder="1" applyAlignment="1">
      <alignment horizontal="left"/>
    </xf>
    <xf numFmtId="1" fontId="22" fillId="0" borderId="19" xfId="2" applyNumberFormat="1" applyFont="1" applyBorder="1" applyAlignment="1">
      <alignment horizontal="left"/>
    </xf>
    <xf numFmtId="0" fontId="18" fillId="0" borderId="34" xfId="0" applyFont="1" applyBorder="1" applyAlignment="1">
      <alignment horizontal="left"/>
    </xf>
    <xf numFmtId="2" fontId="18" fillId="0" borderId="31" xfId="0" applyNumberFormat="1" applyFont="1" applyBorder="1" applyAlignment="1">
      <alignment horizontal="left"/>
    </xf>
    <xf numFmtId="2" fontId="29" fillId="0" borderId="35" xfId="0" applyNumberFormat="1" applyFont="1" applyBorder="1" applyAlignment="1">
      <alignment horizontal="left" vertical="center"/>
    </xf>
    <xf numFmtId="2" fontId="29" fillId="0" borderId="76" xfId="0" applyNumberFormat="1" applyFont="1" applyBorder="1" applyAlignment="1">
      <alignment horizontal="left" vertical="center"/>
    </xf>
    <xf numFmtId="2" fontId="49" fillId="0" borderId="11" xfId="0" applyNumberFormat="1" applyFont="1" applyBorder="1" applyAlignment="1">
      <alignment horizontal="left"/>
    </xf>
    <xf numFmtId="0" fontId="18" fillId="0" borderId="0" xfId="0" applyFont="1" applyBorder="1" applyAlignment="1">
      <alignment horizontal="left" vertical="center"/>
    </xf>
    <xf numFmtId="2" fontId="18" fillId="0" borderId="10" xfId="0" applyNumberFormat="1" applyFont="1" applyBorder="1" applyAlignment="1">
      <alignment horizontal="left" vertical="center"/>
    </xf>
    <xf numFmtId="2" fontId="18" fillId="0" borderId="69" xfId="0" applyNumberFormat="1" applyFont="1" applyBorder="1" applyAlignment="1">
      <alignment horizontal="left" vertical="center"/>
    </xf>
    <xf numFmtId="2" fontId="18" fillId="0" borderId="17" xfId="0" applyNumberFormat="1" applyFont="1" applyBorder="1" applyAlignment="1">
      <alignment horizontal="left" vertical="center"/>
    </xf>
    <xf numFmtId="2" fontId="18" fillId="0" borderId="56" xfId="0" applyNumberFormat="1" applyFont="1" applyBorder="1" applyAlignment="1">
      <alignment horizontal="left" vertical="center"/>
    </xf>
    <xf numFmtId="2" fontId="18" fillId="0" borderId="57" xfId="0" applyNumberFormat="1" applyFont="1" applyBorder="1" applyAlignment="1">
      <alignment horizontal="left" vertical="center"/>
    </xf>
    <xf numFmtId="1" fontId="17" fillId="0" borderId="9" xfId="1" applyNumberFormat="1" applyFont="1" applyBorder="1" applyAlignment="1">
      <alignment horizontal="left"/>
    </xf>
    <xf numFmtId="1" fontId="18" fillId="0" borderId="69" xfId="0" applyNumberFormat="1" applyFont="1" applyBorder="1" applyAlignment="1">
      <alignment horizontal="left"/>
    </xf>
    <xf numFmtId="1" fontId="45" fillId="0" borderId="29" xfId="0" applyNumberFormat="1" applyFont="1" applyBorder="1" applyAlignment="1">
      <alignment horizontal="left" vertical="center"/>
    </xf>
    <xf numFmtId="1" fontId="44" fillId="0" borderId="29" xfId="0" applyNumberFormat="1" applyFont="1" applyBorder="1" applyAlignment="1">
      <alignment horizontal="left" vertical="center"/>
    </xf>
    <xf numFmtId="1" fontId="45" fillId="0" borderId="4" xfId="0" applyNumberFormat="1" applyFont="1" applyBorder="1" applyAlignment="1">
      <alignment horizontal="left" vertical="center"/>
    </xf>
    <xf numFmtId="1" fontId="44" fillId="0" borderId="4" xfId="0" applyNumberFormat="1" applyFont="1" applyBorder="1" applyAlignment="1">
      <alignment horizontal="left" vertical="center"/>
    </xf>
    <xf numFmtId="1" fontId="44" fillId="0" borderId="20" xfId="0" applyNumberFormat="1" applyFont="1" applyFill="1" applyBorder="1" applyAlignment="1">
      <alignment horizontal="left" vertical="center"/>
    </xf>
    <xf numFmtId="1" fontId="18" fillId="0" borderId="62" xfId="0" applyNumberFormat="1" applyFont="1" applyBorder="1" applyAlignment="1">
      <alignment horizontal="left"/>
    </xf>
    <xf numFmtId="1" fontId="45" fillId="0" borderId="15" xfId="0" applyNumberFormat="1" applyFont="1" applyBorder="1" applyAlignment="1">
      <alignment horizontal="left" vertical="center"/>
    </xf>
    <xf numFmtId="2" fontId="17" fillId="0" borderId="52" xfId="0" applyNumberFormat="1" applyFont="1" applyBorder="1" applyAlignment="1">
      <alignment horizontal="left"/>
    </xf>
    <xf numFmtId="1" fontId="18" fillId="0" borderId="31" xfId="0" applyNumberFormat="1" applyFont="1" applyBorder="1" applyAlignment="1">
      <alignment horizontal="left"/>
    </xf>
    <xf numFmtId="1" fontId="44" fillId="0" borderId="30" xfId="0" applyNumberFormat="1" applyFont="1" applyFill="1" applyBorder="1" applyAlignment="1">
      <alignment horizontal="left" vertical="center"/>
    </xf>
    <xf numFmtId="1" fontId="44" fillId="0" borderId="9" xfId="0" applyNumberFormat="1" applyFont="1" applyBorder="1" applyAlignment="1">
      <alignment horizontal="left" vertical="center"/>
    </xf>
    <xf numFmtId="2" fontId="29" fillId="0" borderId="27" xfId="0" applyNumberFormat="1" applyFont="1" applyBorder="1" applyAlignment="1">
      <alignment horizontal="left" vertical="center"/>
    </xf>
    <xf numFmtId="0" fontId="18" fillId="0" borderId="74" xfId="0" applyFont="1" applyBorder="1" applyAlignment="1">
      <alignment horizontal="left" vertical="center"/>
    </xf>
    <xf numFmtId="2" fontId="49" fillId="0" borderId="67" xfId="0" applyNumberFormat="1" applyFont="1" applyBorder="1" applyAlignment="1">
      <alignment horizontal="left"/>
    </xf>
    <xf numFmtId="2" fontId="29" fillId="0" borderId="77" xfId="0" applyNumberFormat="1" applyFont="1" applyBorder="1" applyAlignment="1">
      <alignment horizontal="left" vertical="center"/>
    </xf>
    <xf numFmtId="0" fontId="18" fillId="0" borderId="8" xfId="0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18" fillId="0" borderId="20" xfId="0" applyFont="1" applyBorder="1" applyAlignment="1">
      <alignment horizontal="left"/>
    </xf>
    <xf numFmtId="0" fontId="18" fillId="0" borderId="28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0" fontId="18" fillId="0" borderId="23" xfId="0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2" fontId="1" fillId="0" borderId="3" xfId="0" applyNumberFormat="1" applyFont="1" applyBorder="1" applyAlignment="1">
      <alignment horizontal="left"/>
    </xf>
    <xf numFmtId="172" fontId="24" fillId="0" borderId="47" xfId="0" applyNumberFormat="1" applyFont="1" applyBorder="1" applyAlignment="1">
      <alignment horizontal="left"/>
    </xf>
    <xf numFmtId="172" fontId="24" fillId="0" borderId="4" xfId="0" applyNumberFormat="1" applyFont="1" applyBorder="1" applyAlignment="1">
      <alignment horizontal="left"/>
    </xf>
    <xf numFmtId="0" fontId="24" fillId="0" borderId="4" xfId="0" applyFont="1" applyBorder="1" applyAlignment="1">
      <alignment horizontal="left"/>
    </xf>
    <xf numFmtId="172" fontId="24" fillId="0" borderId="62" xfId="0" applyNumberFormat="1" applyFont="1" applyBorder="1" applyAlignment="1">
      <alignment horizontal="left"/>
    </xf>
    <xf numFmtId="2" fontId="18" fillId="0" borderId="13" xfId="0" applyNumberFormat="1" applyFont="1" applyFill="1" applyBorder="1" applyAlignment="1">
      <alignment horizontal="left"/>
    </xf>
    <xf numFmtId="2" fontId="18" fillId="0" borderId="23" xfId="0" applyNumberFormat="1" applyFont="1" applyFill="1" applyBorder="1" applyAlignment="1">
      <alignment horizontal="left"/>
    </xf>
    <xf numFmtId="0" fontId="18" fillId="0" borderId="47" xfId="0" applyFont="1" applyBorder="1" applyAlignment="1">
      <alignment horizontal="left"/>
    </xf>
    <xf numFmtId="2" fontId="18" fillId="0" borderId="3" xfId="1" applyNumberFormat="1" applyFont="1" applyBorder="1" applyAlignment="1">
      <alignment horizontal="left"/>
    </xf>
    <xf numFmtId="0" fontId="18" fillId="0" borderId="13" xfId="0" applyFont="1" applyBorder="1" applyAlignment="1">
      <alignment horizontal="left" vertical="center"/>
    </xf>
    <xf numFmtId="2" fontId="18" fillId="0" borderId="4" xfId="1" applyNumberFormat="1" applyFont="1" applyBorder="1" applyAlignment="1">
      <alignment horizontal="left"/>
    </xf>
    <xf numFmtId="2" fontId="29" fillId="0" borderId="4" xfId="1" applyNumberFormat="1" applyFont="1" applyBorder="1" applyAlignment="1">
      <alignment horizontal="left"/>
    </xf>
    <xf numFmtId="2" fontId="18" fillId="0" borderId="20" xfId="1" applyNumberFormat="1" applyFont="1" applyBorder="1" applyAlignment="1">
      <alignment horizontal="left"/>
    </xf>
    <xf numFmtId="2" fontId="29" fillId="0" borderId="54" xfId="1" applyNumberFormat="1" applyFont="1" applyBorder="1" applyAlignment="1">
      <alignment horizontal="left"/>
    </xf>
    <xf numFmtId="2" fontId="29" fillId="0" borderId="29" xfId="1" applyNumberFormat="1" applyFont="1" applyBorder="1" applyAlignment="1">
      <alignment horizontal="left"/>
    </xf>
    <xf numFmtId="2" fontId="29" fillId="0" borderId="61" xfId="1" applyNumberFormat="1" applyFont="1" applyBorder="1" applyAlignment="1">
      <alignment horizontal="left"/>
    </xf>
    <xf numFmtId="0" fontId="37" fillId="0" borderId="53" xfId="0" applyFont="1" applyBorder="1" applyAlignment="1">
      <alignment horizontal="left"/>
    </xf>
    <xf numFmtId="1" fontId="17" fillId="0" borderId="72" xfId="1" applyNumberFormat="1" applyFont="1" applyBorder="1" applyAlignment="1">
      <alignment horizontal="left"/>
    </xf>
    <xf numFmtId="1" fontId="18" fillId="0" borderId="23" xfId="1" applyNumberFormat="1" applyFont="1" applyBorder="1" applyAlignment="1">
      <alignment horizontal="left"/>
    </xf>
    <xf numFmtId="1" fontId="24" fillId="0" borderId="28" xfId="0" applyNumberFormat="1" applyFont="1" applyBorder="1" applyAlignment="1">
      <alignment horizontal="left"/>
    </xf>
    <xf numFmtId="1" fontId="24" fillId="0" borderId="23" xfId="0" applyNumberFormat="1" applyFont="1" applyBorder="1" applyAlignment="1">
      <alignment horizontal="left"/>
    </xf>
    <xf numFmtId="0" fontId="19" fillId="0" borderId="72" xfId="0" applyFont="1" applyBorder="1" applyAlignment="1">
      <alignment horizontal="left"/>
    </xf>
    <xf numFmtId="1" fontId="18" fillId="0" borderId="1" xfId="0" applyNumberFormat="1" applyFont="1" applyFill="1" applyBorder="1" applyAlignment="1">
      <alignment horizontal="left"/>
    </xf>
    <xf numFmtId="1" fontId="18" fillId="0" borderId="19" xfId="0" applyNumberFormat="1" applyFont="1" applyFill="1" applyBorder="1" applyAlignment="1">
      <alignment horizontal="left"/>
    </xf>
    <xf numFmtId="1" fontId="17" fillId="0" borderId="69" xfId="0" applyNumberFormat="1" applyFont="1" applyFill="1" applyBorder="1" applyAlignment="1">
      <alignment horizontal="left"/>
    </xf>
    <xf numFmtId="1" fontId="18" fillId="0" borderId="18" xfId="0" applyNumberFormat="1" applyFont="1" applyBorder="1" applyAlignment="1">
      <alignment horizontal="left" vertical="center"/>
    </xf>
    <xf numFmtId="1" fontId="18" fillId="0" borderId="78" xfId="0" applyNumberFormat="1" applyFont="1" applyBorder="1" applyAlignment="1">
      <alignment horizontal="left" vertical="center"/>
    </xf>
    <xf numFmtId="1" fontId="29" fillId="0" borderId="55" xfId="0" applyNumberFormat="1" applyFont="1" applyBorder="1" applyAlignment="1">
      <alignment horizontal="left" vertical="center"/>
    </xf>
    <xf numFmtId="1" fontId="18" fillId="0" borderId="0" xfId="0" applyNumberFormat="1" applyFont="1" applyBorder="1" applyAlignment="1">
      <alignment horizontal="left" vertical="center"/>
    </xf>
    <xf numFmtId="1" fontId="18" fillId="0" borderId="1" xfId="1" applyNumberFormat="1" applyFont="1" applyBorder="1" applyAlignment="1">
      <alignment horizontal="left"/>
    </xf>
    <xf numFmtId="1" fontId="17" fillId="0" borderId="69" xfId="1" applyNumberFormat="1" applyFont="1" applyBorder="1" applyAlignment="1">
      <alignment horizontal="left"/>
    </xf>
    <xf numFmtId="2" fontId="17" fillId="0" borderId="50" xfId="0" applyNumberFormat="1" applyFont="1" applyBorder="1" applyAlignment="1">
      <alignment horizontal="left"/>
    </xf>
    <xf numFmtId="0" fontId="37" fillId="0" borderId="44" xfId="0" applyFont="1" applyBorder="1" applyAlignment="1">
      <alignment horizontal="left"/>
    </xf>
    <xf numFmtId="1" fontId="29" fillId="0" borderId="35" xfId="0" applyNumberFormat="1" applyFont="1" applyBorder="1" applyAlignment="1">
      <alignment horizontal="left" vertical="center"/>
    </xf>
    <xf numFmtId="1" fontId="29" fillId="0" borderId="36" xfId="0" applyNumberFormat="1" applyFont="1" applyBorder="1" applyAlignment="1">
      <alignment horizontal="left" vertical="center"/>
    </xf>
    <xf numFmtId="1" fontId="18" fillId="0" borderId="32" xfId="0" applyNumberFormat="1" applyFont="1" applyFill="1" applyBorder="1" applyAlignment="1">
      <alignment horizontal="left" vertical="center"/>
    </xf>
    <xf numFmtId="1" fontId="18" fillId="0" borderId="34" xfId="0" applyNumberFormat="1" applyFont="1" applyBorder="1" applyAlignment="1">
      <alignment horizontal="left" vertical="center"/>
    </xf>
    <xf numFmtId="1" fontId="18" fillId="0" borderId="3" xfId="0" applyNumberFormat="1" applyFont="1" applyBorder="1" applyAlignment="1">
      <alignment horizontal="left" vertical="center"/>
    </xf>
    <xf numFmtId="1" fontId="18" fillId="0" borderId="31" xfId="0" applyNumberFormat="1" applyFont="1" applyBorder="1" applyAlignment="1">
      <alignment horizontal="left" vertical="center"/>
    </xf>
    <xf numFmtId="2" fontId="17" fillId="0" borderId="7" xfId="0" applyNumberFormat="1" applyFont="1" applyBorder="1" applyAlignment="1">
      <alignment horizontal="left" vertical="center"/>
    </xf>
    <xf numFmtId="2" fontId="17" fillId="0" borderId="9" xfId="0" applyNumberFormat="1" applyFont="1" applyBorder="1" applyAlignment="1">
      <alignment horizontal="left" vertical="center"/>
    </xf>
    <xf numFmtId="2" fontId="17" fillId="0" borderId="19" xfId="0" applyNumberFormat="1" applyFont="1" applyBorder="1" applyAlignment="1">
      <alignment horizontal="left" vertical="center"/>
    </xf>
    <xf numFmtId="2" fontId="18" fillId="0" borderId="39" xfId="0" applyNumberFormat="1" applyFont="1" applyBorder="1" applyAlignment="1">
      <alignment horizontal="left" vertical="center"/>
    </xf>
    <xf numFmtId="2" fontId="18" fillId="0" borderId="42" xfId="0" applyNumberFormat="1" applyFont="1" applyBorder="1" applyAlignment="1">
      <alignment horizontal="left" vertical="center"/>
    </xf>
    <xf numFmtId="2" fontId="22" fillId="0" borderId="44" xfId="0" applyNumberFormat="1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20" xfId="0" applyFont="1" applyBorder="1" applyAlignment="1">
      <alignment horizontal="left"/>
    </xf>
    <xf numFmtId="0" fontId="18" fillId="0" borderId="43" xfId="0" applyFont="1" applyBorder="1" applyAlignment="1">
      <alignment horizontal="left"/>
    </xf>
    <xf numFmtId="2" fontId="18" fillId="0" borderId="43" xfId="0" applyNumberFormat="1" applyFont="1" applyBorder="1" applyAlignment="1">
      <alignment horizontal="left"/>
    </xf>
    <xf numFmtId="2" fontId="18" fillId="0" borderId="44" xfId="0" applyNumberFormat="1" applyFont="1" applyBorder="1" applyAlignment="1">
      <alignment horizontal="left"/>
    </xf>
    <xf numFmtId="2" fontId="17" fillId="0" borderId="28" xfId="2" applyNumberFormat="1" applyFont="1" applyBorder="1" applyAlignment="1">
      <alignment horizontal="left"/>
    </xf>
    <xf numFmtId="2" fontId="22" fillId="0" borderId="28" xfId="1" applyNumberFormat="1" applyFont="1" applyBorder="1" applyAlignment="1">
      <alignment horizontal="left"/>
    </xf>
    <xf numFmtId="2" fontId="33" fillId="0" borderId="70" xfId="1" applyNumberFormat="1" applyFont="1" applyBorder="1" applyAlignment="1">
      <alignment horizontal="left"/>
    </xf>
    <xf numFmtId="2" fontId="33" fillId="0" borderId="61" xfId="0" applyNumberFormat="1" applyFont="1" applyBorder="1" applyAlignment="1">
      <alignment horizontal="left"/>
    </xf>
    <xf numFmtId="2" fontId="23" fillId="0" borderId="75" xfId="0" applyNumberFormat="1" applyFont="1" applyBorder="1" applyAlignment="1">
      <alignment horizontal="left"/>
    </xf>
    <xf numFmtId="2" fontId="33" fillId="0" borderId="51" xfId="0" applyNumberFormat="1" applyFont="1" applyBorder="1" applyAlignment="1">
      <alignment horizontal="left"/>
    </xf>
    <xf numFmtId="2" fontId="23" fillId="0" borderId="51" xfId="0" applyNumberFormat="1" applyFont="1" applyBorder="1" applyAlignment="1">
      <alignment horizontal="left"/>
    </xf>
    <xf numFmtId="2" fontId="33" fillId="0" borderId="55" xfId="0" applyNumberFormat="1" applyFont="1" applyBorder="1" applyAlignment="1">
      <alignment horizontal="left"/>
    </xf>
    <xf numFmtId="172" fontId="26" fillId="0" borderId="28" xfId="0" applyNumberFormat="1" applyFont="1" applyBorder="1" applyAlignment="1">
      <alignment horizontal="left"/>
    </xf>
    <xf numFmtId="1" fontId="17" fillId="0" borderId="28" xfId="0" applyNumberFormat="1" applyFont="1" applyBorder="1" applyAlignment="1">
      <alignment horizontal="left"/>
    </xf>
    <xf numFmtId="1" fontId="4" fillId="0" borderId="72" xfId="0" applyNumberFormat="1" applyFont="1" applyBorder="1" applyAlignment="1">
      <alignment horizontal="left"/>
    </xf>
    <xf numFmtId="1" fontId="18" fillId="0" borderId="48" xfId="0" applyNumberFormat="1" applyFont="1" applyBorder="1" applyAlignment="1">
      <alignment horizontal="left"/>
    </xf>
    <xf numFmtId="1" fontId="1" fillId="0" borderId="14" xfId="0" applyNumberFormat="1" applyFont="1" applyBorder="1" applyAlignment="1">
      <alignment horizontal="left"/>
    </xf>
    <xf numFmtId="1" fontId="17" fillId="0" borderId="23" xfId="0" applyNumberFormat="1" applyFont="1" applyBorder="1" applyAlignment="1">
      <alignment horizontal="left"/>
    </xf>
    <xf numFmtId="0" fontId="29" fillId="0" borderId="61" xfId="0" applyFont="1" applyBorder="1" applyAlignment="1">
      <alignment horizontal="left"/>
    </xf>
    <xf numFmtId="1" fontId="17" fillId="0" borderId="9" xfId="0" applyNumberFormat="1" applyFont="1" applyBorder="1" applyAlignment="1">
      <alignment horizontal="left" vertical="center"/>
    </xf>
    <xf numFmtId="1" fontId="17" fillId="0" borderId="3" xfId="0" applyNumberFormat="1" applyFont="1" applyBorder="1" applyAlignment="1">
      <alignment horizontal="left" vertical="center"/>
    </xf>
    <xf numFmtId="1" fontId="17" fillId="0" borderId="22" xfId="0" applyNumberFormat="1" applyFont="1" applyBorder="1" applyAlignment="1">
      <alignment horizontal="left" vertical="center"/>
    </xf>
    <xf numFmtId="1" fontId="1" fillId="0" borderId="49" xfId="0" applyNumberFormat="1" applyFont="1" applyBorder="1" applyAlignment="1">
      <alignment horizontal="left" vertical="center"/>
    </xf>
    <xf numFmtId="1" fontId="4" fillId="0" borderId="0" xfId="0" applyNumberFormat="1" applyFont="1" applyBorder="1" applyAlignment="1">
      <alignment horizontal="left"/>
    </xf>
    <xf numFmtId="1" fontId="17" fillId="0" borderId="28" xfId="2" applyNumberFormat="1" applyFont="1" applyBorder="1" applyAlignment="1">
      <alignment horizontal="left"/>
    </xf>
    <xf numFmtId="1" fontId="1" fillId="0" borderId="72" xfId="0" applyNumberFormat="1" applyFont="1" applyBorder="1" applyAlignment="1">
      <alignment horizontal="left"/>
    </xf>
    <xf numFmtId="1" fontId="17" fillId="0" borderId="8" xfId="2" applyNumberFormat="1" applyFont="1" applyBorder="1" applyAlignment="1">
      <alignment horizontal="left"/>
    </xf>
    <xf numFmtId="1" fontId="17" fillId="0" borderId="4" xfId="2" applyNumberFormat="1" applyFont="1" applyBorder="1" applyAlignment="1">
      <alignment horizontal="left"/>
    </xf>
    <xf numFmtId="1" fontId="4" fillId="0" borderId="17" xfId="0" applyNumberFormat="1" applyFont="1" applyBorder="1" applyAlignment="1">
      <alignment horizontal="left"/>
    </xf>
    <xf numFmtId="1" fontId="22" fillId="0" borderId="13" xfId="0" applyNumberFormat="1" applyFont="1" applyBorder="1" applyAlignment="1">
      <alignment horizontal="left"/>
    </xf>
    <xf numFmtId="2" fontId="4" fillId="0" borderId="69" xfId="0" applyNumberFormat="1" applyFont="1" applyBorder="1" applyAlignment="1">
      <alignment horizontal="left"/>
    </xf>
    <xf numFmtId="0" fontId="4" fillId="0" borderId="72" xfId="0" applyFont="1" applyBorder="1" applyAlignment="1">
      <alignment horizontal="left"/>
    </xf>
    <xf numFmtId="1" fontId="17" fillId="0" borderId="9" xfId="0" applyNumberFormat="1" applyFont="1" applyFill="1" applyBorder="1" applyAlignment="1">
      <alignment horizontal="left"/>
    </xf>
    <xf numFmtId="1" fontId="4" fillId="0" borderId="69" xfId="0" applyNumberFormat="1" applyFont="1" applyFill="1" applyBorder="1" applyAlignment="1">
      <alignment horizontal="left"/>
    </xf>
    <xf numFmtId="1" fontId="29" fillId="0" borderId="79" xfId="0" applyNumberFormat="1" applyFont="1" applyBorder="1" applyAlignment="1">
      <alignment horizontal="left" vertical="center"/>
    </xf>
    <xf numFmtId="1" fontId="29" fillId="0" borderId="77" xfId="0" applyNumberFormat="1" applyFont="1" applyBorder="1" applyAlignment="1">
      <alignment horizontal="left" vertical="center"/>
    </xf>
    <xf numFmtId="3" fontId="19" fillId="0" borderId="34" xfId="0" applyNumberFormat="1" applyFont="1" applyBorder="1" applyAlignment="1">
      <alignment horizontal="left"/>
    </xf>
    <xf numFmtId="3" fontId="19" fillId="0" borderId="3" xfId="0" applyNumberFormat="1" applyFont="1" applyBorder="1" applyAlignment="1">
      <alignment horizontal="left"/>
    </xf>
    <xf numFmtId="3" fontId="19" fillId="0" borderId="31" xfId="0" applyNumberFormat="1" applyFont="1" applyBorder="1" applyAlignment="1">
      <alignment horizontal="left"/>
    </xf>
    <xf numFmtId="1" fontId="17" fillId="0" borderId="28" xfId="1" applyNumberFormat="1" applyFont="1" applyBorder="1" applyAlignment="1">
      <alignment horizontal="left"/>
    </xf>
    <xf numFmtId="1" fontId="4" fillId="0" borderId="72" xfId="1" applyNumberFormat="1" applyFont="1" applyBorder="1" applyAlignment="1">
      <alignment horizontal="left"/>
    </xf>
    <xf numFmtId="1" fontId="1" fillId="0" borderId="0" xfId="0" applyNumberFormat="1" applyFont="1" applyBorder="1" applyAlignment="1">
      <alignment horizontal="left"/>
    </xf>
    <xf numFmtId="3" fontId="19" fillId="0" borderId="62" xfId="0" applyNumberFormat="1" applyFont="1" applyBorder="1" applyAlignment="1">
      <alignment horizontal="left"/>
    </xf>
    <xf numFmtId="0" fontId="25" fillId="0" borderId="74" xfId="0" applyFont="1" applyBorder="1" applyAlignment="1">
      <alignment horizontal="left" vertical="center"/>
    </xf>
    <xf numFmtId="1" fontId="40" fillId="0" borderId="67" xfId="0" applyNumberFormat="1" applyFont="1" applyBorder="1" applyAlignment="1">
      <alignment horizontal="left"/>
    </xf>
    <xf numFmtId="1" fontId="27" fillId="0" borderId="1" xfId="2" applyNumberFormat="1" applyFont="1" applyBorder="1" applyAlignment="1">
      <alignment horizontal="left"/>
    </xf>
    <xf numFmtId="1" fontId="27" fillId="0" borderId="18" xfId="0" applyNumberFormat="1" applyFont="1" applyBorder="1" applyAlignment="1">
      <alignment horizontal="left"/>
    </xf>
    <xf numFmtId="1" fontId="40" fillId="0" borderId="73" xfId="0" applyNumberFormat="1" applyFont="1" applyBorder="1" applyAlignment="1">
      <alignment horizontal="left"/>
    </xf>
    <xf numFmtId="0" fontId="27" fillId="0" borderId="1" xfId="0" applyFont="1" applyBorder="1" applyAlignment="1">
      <alignment horizontal="left"/>
    </xf>
    <xf numFmtId="3" fontId="27" fillId="0" borderId="1" xfId="0" applyNumberFormat="1" applyFont="1" applyBorder="1" applyAlignment="1">
      <alignment horizontal="left"/>
    </xf>
    <xf numFmtId="0" fontId="51" fillId="0" borderId="1" xfId="0" applyFont="1" applyBorder="1" applyAlignment="1">
      <alignment horizontal="left"/>
    </xf>
    <xf numFmtId="3" fontId="40" fillId="0" borderId="12" xfId="0" applyNumberFormat="1" applyFont="1" applyBorder="1" applyAlignment="1">
      <alignment horizontal="left"/>
    </xf>
    <xf numFmtId="2" fontId="27" fillId="0" borderId="1" xfId="0" applyNumberFormat="1" applyFont="1" applyFill="1" applyBorder="1" applyAlignment="1">
      <alignment horizontal="left"/>
    </xf>
    <xf numFmtId="1" fontId="40" fillId="0" borderId="12" xfId="0" applyNumberFormat="1" applyFont="1" applyFill="1" applyBorder="1" applyAlignment="1">
      <alignment horizontal="left"/>
    </xf>
    <xf numFmtId="1" fontId="40" fillId="0" borderId="63" xfId="0" applyNumberFormat="1" applyFont="1" applyFill="1" applyBorder="1" applyAlignment="1">
      <alignment horizontal="left"/>
    </xf>
    <xf numFmtId="1" fontId="27" fillId="0" borderId="13" xfId="1" applyNumberFormat="1" applyFont="1" applyBorder="1" applyAlignment="1">
      <alignment horizontal="left"/>
    </xf>
    <xf numFmtId="0" fontId="37" fillId="0" borderId="80" xfId="0" applyFont="1" applyBorder="1" applyAlignment="1">
      <alignment horizontal="left"/>
    </xf>
    <xf numFmtId="1" fontId="27" fillId="0" borderId="15" xfId="0" applyNumberFormat="1" applyFont="1" applyBorder="1" applyAlignment="1">
      <alignment horizontal="left" vertical="center"/>
    </xf>
    <xf numFmtId="2" fontId="27" fillId="0" borderId="18" xfId="0" applyNumberFormat="1" applyFont="1" applyBorder="1" applyAlignment="1">
      <alignment horizontal="left"/>
    </xf>
    <xf numFmtId="2" fontId="40" fillId="0" borderId="73" xfId="0" applyNumberFormat="1" applyFont="1" applyBorder="1" applyAlignment="1">
      <alignment horizontal="left"/>
    </xf>
    <xf numFmtId="2" fontId="27" fillId="0" borderId="1" xfId="1" applyNumberFormat="1" applyFont="1" applyBorder="1" applyAlignment="1">
      <alignment horizontal="left"/>
    </xf>
    <xf numFmtId="1" fontId="25" fillId="0" borderId="3" xfId="2" applyNumberFormat="1" applyFont="1" applyBorder="1" applyAlignment="1">
      <alignment horizontal="left"/>
    </xf>
    <xf numFmtId="1" fontId="27" fillId="0" borderId="19" xfId="2" applyNumberFormat="1" applyFont="1" applyBorder="1" applyAlignment="1">
      <alignment horizontal="left"/>
    </xf>
    <xf numFmtId="1" fontId="28" fillId="0" borderId="3" xfId="0" applyNumberFormat="1" applyFont="1" applyBorder="1" applyAlignment="1">
      <alignment horizontal="left"/>
    </xf>
    <xf numFmtId="1" fontId="40" fillId="0" borderId="66" xfId="0" applyNumberFormat="1" applyFont="1" applyBorder="1" applyAlignment="1">
      <alignment horizontal="left"/>
    </xf>
    <xf numFmtId="1" fontId="25" fillId="0" borderId="4" xfId="1" applyNumberFormat="1" applyFont="1" applyBorder="1" applyAlignment="1">
      <alignment horizontal="left"/>
    </xf>
    <xf numFmtId="1" fontId="27" fillId="0" borderId="20" xfId="1" applyNumberFormat="1" applyFont="1" applyBorder="1" applyAlignment="1">
      <alignment horizontal="left"/>
    </xf>
    <xf numFmtId="1" fontId="25" fillId="0" borderId="29" xfId="0" applyNumberFormat="1" applyFont="1" applyBorder="1" applyAlignment="1">
      <alignment horizontal="left"/>
    </xf>
    <xf numFmtId="1" fontId="26" fillId="0" borderId="4" xfId="0" applyNumberFormat="1" applyFont="1" applyBorder="1" applyAlignment="1">
      <alignment horizontal="left"/>
    </xf>
    <xf numFmtId="1" fontId="28" fillId="0" borderId="4" xfId="0" applyNumberFormat="1" applyFont="1" applyBorder="1" applyAlignment="1">
      <alignment horizontal="left"/>
    </xf>
    <xf numFmtId="1" fontId="26" fillId="0" borderId="20" xfId="0" applyNumberFormat="1" applyFont="1" applyBorder="1" applyAlignment="1">
      <alignment horizontal="left"/>
    </xf>
    <xf numFmtId="1" fontId="25" fillId="0" borderId="29" xfId="1" applyNumberFormat="1" applyFont="1" applyBorder="1" applyAlignment="1">
      <alignment horizontal="left"/>
    </xf>
    <xf numFmtId="1" fontId="40" fillId="0" borderId="55" xfId="1" applyNumberFormat="1" applyFont="1" applyBorder="1" applyAlignment="1">
      <alignment horizontal="left"/>
    </xf>
    <xf numFmtId="1" fontId="25" fillId="0" borderId="13" xfId="1" applyNumberFormat="1" applyFont="1" applyBorder="1" applyAlignment="1">
      <alignment horizontal="left"/>
    </xf>
    <xf numFmtId="1" fontId="28" fillId="0" borderId="15" xfId="0" applyNumberFormat="1" applyFont="1" applyBorder="1" applyAlignment="1">
      <alignment horizontal="left"/>
    </xf>
    <xf numFmtId="1" fontId="25" fillId="0" borderId="16" xfId="0" applyNumberFormat="1" applyFont="1" applyBorder="1" applyAlignment="1">
      <alignment horizontal="left" vertical="center"/>
    </xf>
    <xf numFmtId="1" fontId="28" fillId="0" borderId="16" xfId="0" applyNumberFormat="1" applyFont="1" applyBorder="1" applyAlignment="1">
      <alignment horizontal="left"/>
    </xf>
    <xf numFmtId="1" fontId="25" fillId="0" borderId="18" xfId="1" applyNumberFormat="1" applyFont="1" applyBorder="1" applyAlignment="1">
      <alignment horizontal="left"/>
    </xf>
    <xf numFmtId="0" fontId="28" fillId="0" borderId="30" xfId="0" applyFont="1" applyBorder="1" applyAlignment="1">
      <alignment horizontal="left"/>
    </xf>
    <xf numFmtId="1" fontId="27" fillId="0" borderId="69" xfId="0" applyNumberFormat="1" applyFont="1" applyBorder="1" applyAlignment="1">
      <alignment horizontal="left"/>
    </xf>
    <xf numFmtId="1" fontId="27" fillId="0" borderId="56" xfId="0" applyNumberFormat="1" applyFont="1" applyBorder="1" applyAlignment="1">
      <alignment horizontal="left"/>
    </xf>
    <xf numFmtId="1" fontId="27" fillId="0" borderId="72" xfId="0" applyNumberFormat="1" applyFont="1" applyBorder="1" applyAlignment="1">
      <alignment horizontal="left"/>
    </xf>
    <xf numFmtId="1" fontId="27" fillId="0" borderId="65" xfId="0" applyNumberFormat="1" applyFont="1" applyBorder="1" applyAlignment="1">
      <alignment horizontal="left"/>
    </xf>
    <xf numFmtId="1" fontId="41" fillId="0" borderId="65" xfId="0" applyNumberFormat="1" applyFont="1" applyBorder="1" applyAlignment="1">
      <alignment horizontal="left"/>
    </xf>
    <xf numFmtId="2" fontId="40" fillId="0" borderId="56" xfId="0" applyNumberFormat="1" applyFont="1" applyBorder="1" applyAlignment="1">
      <alignment horizontal="left" vertical="center"/>
    </xf>
    <xf numFmtId="2" fontId="40" fillId="0" borderId="53" xfId="0" applyNumberFormat="1" applyFont="1" applyBorder="1" applyAlignment="1">
      <alignment horizontal="left" vertical="center"/>
    </xf>
    <xf numFmtId="2" fontId="40" fillId="0" borderId="61" xfId="0" applyNumberFormat="1" applyFont="1" applyBorder="1" applyAlignment="1">
      <alignment horizontal="left" vertical="center"/>
    </xf>
    <xf numFmtId="2" fontId="40" fillId="0" borderId="54" xfId="0" applyNumberFormat="1" applyFont="1" applyBorder="1" applyAlignment="1">
      <alignment horizontal="left" vertical="center"/>
    </xf>
    <xf numFmtId="0" fontId="25" fillId="0" borderId="69" xfId="0" applyFont="1" applyBorder="1" applyAlignment="1">
      <alignment horizontal="left" vertical="center"/>
    </xf>
    <xf numFmtId="0" fontId="27" fillId="0" borderId="70" xfId="0" applyFont="1" applyBorder="1" applyAlignment="1">
      <alignment horizontal="left"/>
    </xf>
    <xf numFmtId="1" fontId="27" fillId="0" borderId="80" xfId="0" applyNumberFormat="1" applyFont="1" applyBorder="1" applyAlignment="1">
      <alignment horizontal="left"/>
    </xf>
    <xf numFmtId="0" fontId="27" fillId="0" borderId="69" xfId="0" applyFont="1" applyBorder="1" applyAlignment="1">
      <alignment horizontal="left"/>
    </xf>
    <xf numFmtId="1" fontId="25" fillId="0" borderId="54" xfId="0" applyNumberFormat="1" applyFont="1" applyBorder="1" applyAlignment="1">
      <alignment horizontal="left"/>
    </xf>
    <xf numFmtId="1" fontId="27" fillId="0" borderId="61" xfId="0" applyNumberFormat="1" applyFont="1" applyBorder="1" applyAlignment="1">
      <alignment horizontal="left"/>
    </xf>
    <xf numFmtId="1" fontId="27" fillId="0" borderId="57" xfId="0" applyNumberFormat="1" applyFont="1" applyBorder="1" applyAlignment="1">
      <alignment horizontal="left"/>
    </xf>
    <xf numFmtId="1" fontId="25" fillId="0" borderId="57" xfId="0" applyNumberFormat="1" applyFont="1" applyBorder="1" applyAlignment="1">
      <alignment horizontal="left"/>
    </xf>
    <xf numFmtId="1" fontId="44" fillId="0" borderId="24" xfId="0" applyNumberFormat="1" applyFont="1" applyFill="1" applyBorder="1" applyAlignment="1">
      <alignment horizontal="left" vertical="center"/>
    </xf>
    <xf numFmtId="2" fontId="18" fillId="0" borderId="62" xfId="0" applyNumberFormat="1" applyFont="1" applyBorder="1" applyAlignment="1">
      <alignment horizontal="left"/>
    </xf>
    <xf numFmtId="1" fontId="25" fillId="0" borderId="52" xfId="0" applyNumberFormat="1" applyFont="1" applyFill="1" applyBorder="1" applyAlignment="1">
      <alignment horizontal="center" vertical="center" wrapText="1"/>
    </xf>
    <xf numFmtId="1" fontId="25" fillId="0" borderId="51" xfId="0" applyNumberFormat="1" applyFont="1" applyFill="1" applyBorder="1" applyAlignment="1">
      <alignment horizontal="center" vertical="center" wrapText="1"/>
    </xf>
    <xf numFmtId="1" fontId="25" fillId="0" borderId="52" xfId="0" applyNumberFormat="1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left"/>
    </xf>
    <xf numFmtId="0" fontId="52" fillId="0" borderId="0" xfId="0" applyFont="1" applyFill="1" applyBorder="1" applyAlignment="1"/>
    <xf numFmtId="1" fontId="53" fillId="0" borderId="0" xfId="0" applyNumberFormat="1" applyFont="1" applyAlignment="1">
      <alignment horizontal="left"/>
    </xf>
    <xf numFmtId="0" fontId="53" fillId="0" borderId="0" xfId="0" applyFont="1" applyAlignment="1">
      <alignment horizontal="left"/>
    </xf>
    <xf numFmtId="0" fontId="52" fillId="0" borderId="59" xfId="0" applyFont="1" applyBorder="1" applyAlignment="1">
      <alignment horizontal="left" vertical="center" wrapText="1"/>
    </xf>
    <xf numFmtId="0" fontId="54" fillId="0" borderId="0" xfId="0" applyFont="1" applyAlignment="1">
      <alignment horizontal="left"/>
    </xf>
    <xf numFmtId="0" fontId="11" fillId="0" borderId="6" xfId="0" applyFont="1" applyBorder="1" applyAlignment="1">
      <alignment horizontal="center" vertical="justify" wrapText="1"/>
    </xf>
    <xf numFmtId="0" fontId="11" fillId="0" borderId="0" xfId="0" applyFont="1" applyBorder="1" applyAlignment="1">
      <alignment horizontal="center" vertical="justify" wrapText="1"/>
    </xf>
    <xf numFmtId="0" fontId="11" fillId="0" borderId="17" xfId="0" applyFont="1" applyBorder="1" applyAlignment="1">
      <alignment horizontal="center" vertical="justify" wrapText="1"/>
    </xf>
    <xf numFmtId="0" fontId="11" fillId="0" borderId="26" xfId="0" applyFont="1" applyBorder="1" applyAlignment="1">
      <alignment horizontal="center" vertical="justify" wrapText="1"/>
    </xf>
    <xf numFmtId="0" fontId="11" fillId="0" borderId="27" xfId="0" applyFont="1" applyBorder="1" applyAlignment="1">
      <alignment horizontal="center" vertical="justify" wrapText="1"/>
    </xf>
    <xf numFmtId="0" fontId="11" fillId="0" borderId="61" xfId="0" applyFont="1" applyBorder="1" applyAlignment="1">
      <alignment horizontal="center" vertical="justify" wrapText="1"/>
    </xf>
    <xf numFmtId="0" fontId="11" fillId="0" borderId="55" xfId="0" applyFont="1" applyBorder="1" applyAlignment="1">
      <alignment horizontal="center" vertical="justify" wrapText="1"/>
    </xf>
    <xf numFmtId="0" fontId="11" fillId="0" borderId="57" xfId="0" applyFont="1" applyBorder="1" applyAlignment="1">
      <alignment horizontal="center" vertical="justify" wrapText="1"/>
    </xf>
    <xf numFmtId="0" fontId="11" fillId="0" borderId="39" xfId="0" applyFont="1" applyBorder="1" applyAlignment="1">
      <alignment horizontal="center" vertical="justify" wrapText="1"/>
    </xf>
    <xf numFmtId="0" fontId="11" fillId="0" borderId="40" xfId="0" applyFont="1" applyBorder="1" applyAlignment="1">
      <alignment horizontal="center" vertical="justify" wrapText="1"/>
    </xf>
    <xf numFmtId="0" fontId="11" fillId="0" borderId="42" xfId="0" applyFont="1" applyBorder="1" applyAlignment="1">
      <alignment horizontal="center" vertical="justify" wrapText="1"/>
    </xf>
    <xf numFmtId="0" fontId="11" fillId="0" borderId="70" xfId="0" applyFont="1" applyBorder="1" applyAlignment="1">
      <alignment horizontal="center" vertical="justify" wrapText="1"/>
    </xf>
    <xf numFmtId="0" fontId="11" fillId="0" borderId="51" xfId="0" applyFont="1" applyBorder="1" applyAlignment="1">
      <alignment horizontal="center" vertical="justify" wrapText="1"/>
    </xf>
    <xf numFmtId="0" fontId="11" fillId="0" borderId="52" xfId="0" applyFont="1" applyBorder="1" applyAlignment="1">
      <alignment horizontal="center" vertical="justify" wrapText="1"/>
    </xf>
    <xf numFmtId="1" fontId="11" fillId="0" borderId="61" xfId="0" applyNumberFormat="1" applyFont="1" applyBorder="1" applyAlignment="1">
      <alignment horizontal="center" vertical="justify" wrapText="1"/>
    </xf>
    <xf numFmtId="1" fontId="11" fillId="0" borderId="55" xfId="0" applyNumberFormat="1" applyFont="1" applyBorder="1" applyAlignment="1">
      <alignment horizontal="center" vertical="justify" wrapText="1"/>
    </xf>
    <xf numFmtId="2" fontId="11" fillId="0" borderId="32" xfId="0" applyNumberFormat="1" applyFont="1" applyBorder="1" applyAlignment="1">
      <alignment horizontal="left" vertical="center"/>
    </xf>
    <xf numFmtId="2" fontId="11" fillId="0" borderId="33" xfId="0" applyNumberFormat="1" applyFont="1" applyBorder="1" applyAlignment="1">
      <alignment horizontal="left" vertical="center"/>
    </xf>
    <xf numFmtId="2" fontId="11" fillId="0" borderId="34" xfId="0" applyNumberFormat="1" applyFont="1" applyBorder="1" applyAlignment="1">
      <alignment horizontal="left" vertical="center"/>
    </xf>
    <xf numFmtId="2" fontId="11" fillId="0" borderId="47" xfId="0" applyNumberFormat="1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2" fontId="11" fillId="0" borderId="69" xfId="0" applyNumberFormat="1" applyFont="1" applyBorder="1" applyAlignment="1">
      <alignment horizontal="left" vertical="center"/>
    </xf>
    <xf numFmtId="2" fontId="11" fillId="0" borderId="68" xfId="0" applyNumberFormat="1" applyFont="1" applyBorder="1" applyAlignment="1">
      <alignment horizontal="left" vertical="center"/>
    </xf>
    <xf numFmtId="2" fontId="11" fillId="0" borderId="49" xfId="0" applyNumberFormat="1" applyFont="1" applyBorder="1" applyAlignment="1">
      <alignment horizontal="left" vertical="center"/>
    </xf>
    <xf numFmtId="2" fontId="11" fillId="0" borderId="50" xfId="0" applyNumberFormat="1" applyFont="1" applyBorder="1" applyAlignment="1">
      <alignment horizontal="left" vertical="center"/>
    </xf>
    <xf numFmtId="0" fontId="11" fillId="0" borderId="60" xfId="0" applyFont="1" applyBorder="1" applyAlignment="1">
      <alignment horizontal="left" vertical="center"/>
    </xf>
    <xf numFmtId="2" fontId="11" fillId="0" borderId="7" xfId="0" applyNumberFormat="1" applyFont="1" applyBorder="1" applyAlignment="1">
      <alignment horizontal="left" vertical="center"/>
    </xf>
    <xf numFmtId="2" fontId="11" fillId="0" borderId="5" xfId="0" applyNumberFormat="1" applyFont="1" applyBorder="1" applyAlignment="1">
      <alignment horizontal="left" vertical="center"/>
    </xf>
    <xf numFmtId="2" fontId="11" fillId="0" borderId="9" xfId="0" applyNumberFormat="1" applyFont="1" applyBorder="1" applyAlignment="1">
      <alignment horizontal="left" vertical="center"/>
    </xf>
    <xf numFmtId="3" fontId="55" fillId="0" borderId="6" xfId="0" applyNumberFormat="1" applyFont="1" applyBorder="1" applyAlignment="1">
      <alignment horizontal="left"/>
    </xf>
    <xf numFmtId="3" fontId="55" fillId="0" borderId="0" xfId="0" applyNumberFormat="1" applyFont="1" applyBorder="1" applyAlignment="1">
      <alignment horizontal="left"/>
    </xf>
    <xf numFmtId="0" fontId="55" fillId="0" borderId="17" xfId="0" applyFont="1" applyBorder="1" applyAlignment="1">
      <alignment horizontal="left"/>
    </xf>
    <xf numFmtId="3" fontId="55" fillId="0" borderId="32" xfId="0" applyNumberFormat="1" applyFont="1" applyBorder="1" applyAlignment="1">
      <alignment horizontal="left"/>
    </xf>
    <xf numFmtId="3" fontId="55" fillId="0" borderId="33" xfId="0" applyNumberFormat="1" applyFont="1" applyBorder="1" applyAlignment="1">
      <alignment horizontal="left"/>
    </xf>
    <xf numFmtId="0" fontId="55" fillId="0" borderId="34" xfId="0" applyFont="1" applyBorder="1" applyAlignment="1">
      <alignment horizontal="left"/>
    </xf>
    <xf numFmtId="3" fontId="12" fillId="0" borderId="0" xfId="0" applyNumberFormat="1" applyFont="1" applyBorder="1" applyAlignment="1">
      <alignment horizontal="left"/>
    </xf>
    <xf numFmtId="3" fontId="12" fillId="0" borderId="17" xfId="0" applyNumberFormat="1" applyFont="1" applyBorder="1" applyAlignment="1">
      <alignment horizontal="left"/>
    </xf>
    <xf numFmtId="3" fontId="12" fillId="0" borderId="0" xfId="0" applyNumberFormat="1" applyFont="1" applyBorder="1" applyAlignment="1">
      <alignment horizontal="right"/>
    </xf>
    <xf numFmtId="172" fontId="13" fillId="0" borderId="0" xfId="0" applyNumberFormat="1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172" fontId="13" fillId="0" borderId="32" xfId="0" applyNumberFormat="1" applyFont="1" applyBorder="1" applyAlignment="1">
      <alignment horizontal="left"/>
    </xf>
    <xf numFmtId="172" fontId="13" fillId="0" borderId="33" xfId="0" applyNumberFormat="1" applyFont="1" applyBorder="1" applyAlignment="1">
      <alignment horizontal="left"/>
    </xf>
    <xf numFmtId="0" fontId="13" fillId="0" borderId="34" xfId="0" applyFont="1" applyBorder="1" applyAlignment="1">
      <alignment horizontal="left"/>
    </xf>
    <xf numFmtId="172" fontId="13" fillId="0" borderId="47" xfId="0" applyNumberFormat="1" applyFont="1" applyFill="1" applyBorder="1" applyAlignment="1">
      <alignment horizontal="right"/>
    </xf>
    <xf numFmtId="172" fontId="13" fillId="0" borderId="33" xfId="0" applyNumberFormat="1" applyFont="1" applyFill="1" applyBorder="1" applyAlignment="1">
      <alignment horizontal="right"/>
    </xf>
    <xf numFmtId="0" fontId="13" fillId="0" borderId="34" xfId="0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center" vertical="justify" wrapText="1"/>
    </xf>
    <xf numFmtId="1" fontId="11" fillId="0" borderId="7" xfId="0" applyNumberFormat="1" applyFont="1" applyBorder="1" applyAlignment="1">
      <alignment horizontal="left" vertical="center"/>
    </xf>
    <xf numFmtId="2" fontId="11" fillId="0" borderId="48" xfId="0" applyNumberFormat="1" applyFont="1" applyBorder="1" applyAlignment="1">
      <alignment horizontal="left" vertical="center"/>
    </xf>
    <xf numFmtId="0" fontId="14" fillId="0" borderId="0" xfId="0" applyFont="1" applyAlignment="1">
      <alignment horizontal="left"/>
    </xf>
    <xf numFmtId="1" fontId="14" fillId="0" borderId="0" xfId="0" applyNumberFormat="1" applyFont="1" applyAlignment="1">
      <alignment horizontal="left"/>
    </xf>
    <xf numFmtId="2" fontId="53" fillId="0" borderId="1" xfId="0" applyNumberFormat="1" applyFont="1" applyBorder="1" applyAlignment="1">
      <alignment horizontal="left" vertical="center"/>
    </xf>
    <xf numFmtId="2" fontId="53" fillId="0" borderId="2" xfId="0" applyNumberFormat="1" applyFont="1" applyBorder="1" applyAlignment="1">
      <alignment horizontal="left" vertical="center"/>
    </xf>
    <xf numFmtId="2" fontId="53" fillId="0" borderId="3" xfId="0" applyNumberFormat="1" applyFont="1" applyBorder="1" applyAlignment="1">
      <alignment horizontal="left" vertical="center"/>
    </xf>
    <xf numFmtId="2" fontId="53" fillId="0" borderId="4" xfId="0" applyNumberFormat="1" applyFont="1" applyBorder="1" applyAlignment="1">
      <alignment horizontal="left" vertical="center"/>
    </xf>
    <xf numFmtId="2" fontId="53" fillId="0" borderId="1" xfId="0" applyNumberFormat="1" applyFont="1" applyBorder="1" applyAlignment="1">
      <alignment horizontal="left"/>
    </xf>
    <xf numFmtId="2" fontId="53" fillId="0" borderId="2" xfId="0" applyNumberFormat="1" applyFont="1" applyBorder="1" applyAlignment="1">
      <alignment horizontal="left"/>
    </xf>
    <xf numFmtId="2" fontId="53" fillId="0" borderId="3" xfId="0" applyNumberFormat="1" applyFont="1" applyBorder="1" applyAlignment="1">
      <alignment horizontal="left"/>
    </xf>
    <xf numFmtId="2" fontId="53" fillId="0" borderId="4" xfId="0" applyNumberFormat="1" applyFont="1" applyBorder="1" applyAlignment="1">
      <alignment horizontal="left"/>
    </xf>
    <xf numFmtId="0" fontId="52" fillId="0" borderId="3" xfId="0" applyFont="1" applyBorder="1" applyAlignment="1">
      <alignment horizontal="left" vertical="center"/>
    </xf>
    <xf numFmtId="0" fontId="52" fillId="0" borderId="5" xfId="0" applyFont="1" applyBorder="1" applyAlignment="1">
      <alignment horizontal="left" vertical="center"/>
    </xf>
    <xf numFmtId="0" fontId="52" fillId="0" borderId="9" xfId="0" applyFont="1" applyBorder="1" applyAlignment="1">
      <alignment horizontal="left" vertical="center"/>
    </xf>
    <xf numFmtId="2" fontId="53" fillId="0" borderId="32" xfId="0" applyNumberFormat="1" applyFont="1" applyBorder="1" applyAlignment="1">
      <alignment horizontal="left"/>
    </xf>
    <xf numFmtId="2" fontId="53" fillId="0" borderId="33" xfId="0" applyNumberFormat="1" applyFont="1" applyBorder="1" applyAlignment="1">
      <alignment horizontal="left"/>
    </xf>
    <xf numFmtId="2" fontId="53" fillId="0" borderId="34" xfId="0" applyNumberFormat="1" applyFont="1" applyBorder="1" applyAlignment="1">
      <alignment horizontal="left"/>
    </xf>
    <xf numFmtId="2" fontId="53" fillId="0" borderId="47" xfId="0" applyNumberFormat="1" applyFont="1" applyBorder="1" applyAlignment="1">
      <alignment horizontal="left"/>
    </xf>
    <xf numFmtId="2" fontId="52" fillId="0" borderId="34" xfId="0" applyNumberFormat="1" applyFont="1" applyBorder="1" applyAlignment="1">
      <alignment horizontal="left" vertical="center"/>
    </xf>
    <xf numFmtId="2" fontId="53" fillId="0" borderId="29" xfId="0" applyNumberFormat="1" applyFont="1" applyBorder="1" applyAlignment="1">
      <alignment horizontal="left"/>
    </xf>
    <xf numFmtId="0" fontId="53" fillId="0" borderId="17" xfId="0" applyFont="1" applyBorder="1" applyAlignment="1">
      <alignment horizontal="left"/>
    </xf>
    <xf numFmtId="2" fontId="53" fillId="0" borderId="1" xfId="2" applyNumberFormat="1" applyFont="1" applyBorder="1" applyAlignment="1">
      <alignment horizontal="left"/>
    </xf>
    <xf numFmtId="2" fontId="53" fillId="0" borderId="2" xfId="2" applyNumberFormat="1" applyFont="1" applyBorder="1" applyAlignment="1">
      <alignment horizontal="left"/>
    </xf>
    <xf numFmtId="2" fontId="53" fillId="0" borderId="3" xfId="2" applyNumberFormat="1" applyFont="1" applyBorder="1" applyAlignment="1">
      <alignment horizontal="left"/>
    </xf>
    <xf numFmtId="2" fontId="53" fillId="0" borderId="4" xfId="2" applyNumberFormat="1" applyFont="1" applyBorder="1" applyAlignment="1">
      <alignment horizontal="left"/>
    </xf>
    <xf numFmtId="2" fontId="53" fillId="0" borderId="4" xfId="0" applyNumberFormat="1" applyFont="1" applyBorder="1" applyAlignment="1">
      <alignment horizontal="left" wrapText="1"/>
    </xf>
    <xf numFmtId="2" fontId="56" fillId="0" borderId="4" xfId="0" applyNumberFormat="1" applyFont="1" applyBorder="1" applyAlignment="1">
      <alignment horizontal="left"/>
    </xf>
    <xf numFmtId="2" fontId="56" fillId="0" borderId="2" xfId="0" applyNumberFormat="1" applyFont="1" applyBorder="1" applyAlignment="1">
      <alignment horizontal="left"/>
    </xf>
    <xf numFmtId="2" fontId="56" fillId="0" borderId="3" xfId="0" applyNumberFormat="1" applyFont="1" applyBorder="1" applyAlignment="1">
      <alignment horizontal="left"/>
    </xf>
    <xf numFmtId="2" fontId="53" fillId="0" borderId="4" xfId="0" applyNumberFormat="1" applyFont="1" applyFill="1" applyBorder="1" applyAlignment="1">
      <alignment horizontal="left"/>
    </xf>
    <xf numFmtId="2" fontId="53" fillId="0" borderId="2" xfId="0" applyNumberFormat="1" applyFont="1" applyFill="1" applyBorder="1" applyAlignment="1">
      <alignment horizontal="left"/>
    </xf>
    <xf numFmtId="2" fontId="53" fillId="0" borderId="3" xfId="0" applyNumberFormat="1" applyFont="1" applyFill="1" applyBorder="1" applyAlignment="1">
      <alignment horizontal="left"/>
    </xf>
    <xf numFmtId="2" fontId="53" fillId="0" borderId="1" xfId="1" applyNumberFormat="1" applyFont="1" applyBorder="1" applyAlignment="1">
      <alignment horizontal="left"/>
    </xf>
    <xf numFmtId="2" fontId="53" fillId="0" borderId="2" xfId="1" applyNumberFormat="1" applyFont="1" applyBorder="1" applyAlignment="1">
      <alignment horizontal="left"/>
    </xf>
    <xf numFmtId="2" fontId="53" fillId="0" borderId="3" xfId="1" applyNumberFormat="1" applyFont="1" applyBorder="1" applyAlignment="1">
      <alignment horizontal="left"/>
    </xf>
    <xf numFmtId="2" fontId="53" fillId="0" borderId="4" xfId="1" applyNumberFormat="1" applyFont="1" applyBorder="1" applyAlignment="1">
      <alignment horizontal="left"/>
    </xf>
    <xf numFmtId="1" fontId="52" fillId="0" borderId="7" xfId="0" applyNumberFormat="1" applyFont="1" applyBorder="1" applyAlignment="1">
      <alignment horizontal="left" vertical="center"/>
    </xf>
    <xf numFmtId="2" fontId="52" fillId="0" borderId="48" xfId="0" applyNumberFormat="1" applyFont="1" applyBorder="1" applyAlignment="1">
      <alignment horizontal="left" vertical="center"/>
    </xf>
    <xf numFmtId="10" fontId="53" fillId="0" borderId="1" xfId="0" applyNumberFormat="1" applyFont="1" applyBorder="1" applyAlignment="1">
      <alignment horizontal="left"/>
    </xf>
    <xf numFmtId="10" fontId="53" fillId="0" borderId="4" xfId="0" applyNumberFormat="1" applyFont="1" applyBorder="1" applyAlignment="1">
      <alignment horizontal="left"/>
    </xf>
    <xf numFmtId="10" fontId="53" fillId="0" borderId="2" xfId="0" applyNumberFormat="1" applyFont="1" applyBorder="1" applyAlignment="1">
      <alignment horizontal="left"/>
    </xf>
    <xf numFmtId="10" fontId="53" fillId="0" borderId="3" xfId="0" applyNumberFormat="1" applyFont="1" applyBorder="1" applyAlignment="1">
      <alignment horizontal="left"/>
    </xf>
    <xf numFmtId="10" fontId="52" fillId="0" borderId="3" xfId="0" applyNumberFormat="1" applyFont="1" applyBorder="1" applyAlignment="1">
      <alignment horizontal="left" vertical="center"/>
    </xf>
    <xf numFmtId="10" fontId="53" fillId="0" borderId="29" xfId="0" applyNumberFormat="1" applyFont="1" applyBorder="1" applyAlignment="1">
      <alignment horizontal="left"/>
    </xf>
    <xf numFmtId="10" fontId="53" fillId="0" borderId="1" xfId="2" applyNumberFormat="1" applyFont="1" applyBorder="1" applyAlignment="1">
      <alignment horizontal="left"/>
    </xf>
    <xf numFmtId="10" fontId="53" fillId="0" borderId="2" xfId="2" applyNumberFormat="1" applyFont="1" applyBorder="1" applyAlignment="1">
      <alignment horizontal="left"/>
    </xf>
    <xf numFmtId="10" fontId="53" fillId="0" borderId="3" xfId="2" applyNumberFormat="1" applyFont="1" applyBorder="1" applyAlignment="1">
      <alignment horizontal="left"/>
    </xf>
    <xf numFmtId="10" fontId="53" fillId="0" borderId="4" xfId="2" applyNumberFormat="1" applyFont="1" applyBorder="1" applyAlignment="1">
      <alignment horizontal="left"/>
    </xf>
    <xf numFmtId="2" fontId="53" fillId="0" borderId="12" xfId="0" applyNumberFormat="1" applyFont="1" applyBorder="1" applyAlignment="1">
      <alignment horizontal="left" vertical="center"/>
    </xf>
    <xf numFmtId="2" fontId="53" fillId="0" borderId="11" xfId="0" applyNumberFormat="1" applyFont="1" applyBorder="1" applyAlignment="1">
      <alignment horizontal="left" vertical="center"/>
    </xf>
    <xf numFmtId="2" fontId="53" fillId="0" borderId="31" xfId="0" applyNumberFormat="1" applyFont="1" applyBorder="1" applyAlignment="1">
      <alignment horizontal="left" vertical="center"/>
    </xf>
    <xf numFmtId="2" fontId="53" fillId="0" borderId="62" xfId="0" applyNumberFormat="1" applyFont="1" applyBorder="1" applyAlignment="1">
      <alignment horizontal="left" vertical="center"/>
    </xf>
    <xf numFmtId="2" fontId="53" fillId="0" borderId="12" xfId="0" applyNumberFormat="1" applyFont="1" applyBorder="1" applyAlignment="1">
      <alignment horizontal="left"/>
    </xf>
    <xf numFmtId="2" fontId="53" fillId="0" borderId="11" xfId="0" applyNumberFormat="1" applyFont="1" applyBorder="1" applyAlignment="1">
      <alignment horizontal="left"/>
    </xf>
    <xf numFmtId="2" fontId="53" fillId="0" borderId="31" xfId="0" applyNumberFormat="1" applyFont="1" applyBorder="1" applyAlignment="1">
      <alignment horizontal="left"/>
    </xf>
    <xf numFmtId="2" fontId="53" fillId="0" borderId="62" xfId="0" applyNumberFormat="1" applyFont="1" applyBorder="1" applyAlignment="1">
      <alignment horizontal="left"/>
    </xf>
    <xf numFmtId="0" fontId="52" fillId="0" borderId="31" xfId="0" applyFont="1" applyBorder="1" applyAlignment="1">
      <alignment horizontal="left" vertical="center"/>
    </xf>
    <xf numFmtId="10" fontId="53" fillId="0" borderId="12" xfId="0" applyNumberFormat="1" applyFont="1" applyBorder="1" applyAlignment="1">
      <alignment horizontal="left"/>
    </xf>
    <xf numFmtId="0" fontId="52" fillId="0" borderId="76" xfId="0" applyFont="1" applyBorder="1" applyAlignment="1">
      <alignment horizontal="left" vertical="center"/>
    </xf>
    <xf numFmtId="0" fontId="52" fillId="0" borderId="36" xfId="0" applyFont="1" applyBorder="1" applyAlignment="1">
      <alignment horizontal="left" vertical="center"/>
    </xf>
    <xf numFmtId="10" fontId="53" fillId="0" borderId="62" xfId="0" applyNumberFormat="1" applyFont="1" applyBorder="1" applyAlignment="1">
      <alignment horizontal="left"/>
    </xf>
    <xf numFmtId="10" fontId="53" fillId="0" borderId="31" xfId="0" applyNumberFormat="1" applyFont="1" applyBorder="1" applyAlignment="1">
      <alignment horizontal="left"/>
    </xf>
    <xf numFmtId="10" fontId="53" fillId="0" borderId="73" xfId="0" applyNumberFormat="1" applyFont="1" applyBorder="1" applyAlignment="1">
      <alignment horizontal="left"/>
    </xf>
    <xf numFmtId="10" fontId="53" fillId="0" borderId="11" xfId="0" applyNumberFormat="1" applyFont="1" applyBorder="1" applyAlignment="1">
      <alignment horizontal="left"/>
    </xf>
    <xf numFmtId="2" fontId="53" fillId="0" borderId="12" xfId="2" applyNumberFormat="1" applyFont="1" applyBorder="1" applyAlignment="1">
      <alignment horizontal="left"/>
    </xf>
    <xf numFmtId="2" fontId="53" fillId="0" borderId="11" xfId="2" applyNumberFormat="1" applyFont="1" applyBorder="1" applyAlignment="1">
      <alignment horizontal="left"/>
    </xf>
    <xf numFmtId="2" fontId="53" fillId="0" borderId="31" xfId="2" applyNumberFormat="1" applyFont="1" applyBorder="1" applyAlignment="1">
      <alignment horizontal="left"/>
    </xf>
    <xf numFmtId="2" fontId="53" fillId="0" borderId="62" xfId="2" applyNumberFormat="1" applyFont="1" applyBorder="1" applyAlignment="1">
      <alignment horizontal="left"/>
    </xf>
    <xf numFmtId="2" fontId="53" fillId="0" borderId="62" xfId="0" applyNumberFormat="1" applyFont="1" applyBorder="1" applyAlignment="1">
      <alignment horizontal="left" wrapText="1"/>
    </xf>
    <xf numFmtId="2" fontId="56" fillId="0" borderId="62" xfId="0" applyNumberFormat="1" applyFont="1" applyBorder="1" applyAlignment="1">
      <alignment horizontal="left"/>
    </xf>
    <xf numFmtId="2" fontId="56" fillId="0" borderId="11" xfId="0" applyNumberFormat="1" applyFont="1" applyBorder="1" applyAlignment="1">
      <alignment horizontal="left"/>
    </xf>
    <xf numFmtId="2" fontId="56" fillId="0" borderId="31" xfId="0" applyNumberFormat="1" applyFont="1" applyBorder="1" applyAlignment="1">
      <alignment horizontal="left"/>
    </xf>
    <xf numFmtId="2" fontId="53" fillId="0" borderId="62" xfId="0" applyNumberFormat="1" applyFont="1" applyFill="1" applyBorder="1" applyAlignment="1">
      <alignment horizontal="left"/>
    </xf>
    <xf numFmtId="2" fontId="53" fillId="0" borderId="11" xfId="0" applyNumberFormat="1" applyFont="1" applyFill="1" applyBorder="1" applyAlignment="1">
      <alignment horizontal="left"/>
    </xf>
    <xf numFmtId="2" fontId="53" fillId="0" borderId="31" xfId="0" applyNumberFormat="1" applyFont="1" applyFill="1" applyBorder="1" applyAlignment="1">
      <alignment horizontal="left"/>
    </xf>
    <xf numFmtId="2" fontId="53" fillId="0" borderId="12" xfId="1" applyNumberFormat="1" applyFont="1" applyBorder="1" applyAlignment="1">
      <alignment horizontal="left"/>
    </xf>
    <xf numFmtId="2" fontId="53" fillId="0" borderId="11" xfId="1" applyNumberFormat="1" applyFont="1" applyBorder="1" applyAlignment="1">
      <alignment horizontal="left"/>
    </xf>
    <xf numFmtId="2" fontId="53" fillId="0" borderId="31" xfId="1" applyNumberFormat="1" applyFont="1" applyBorder="1" applyAlignment="1">
      <alignment horizontal="left"/>
    </xf>
    <xf numFmtId="2" fontId="53" fillId="0" borderId="62" xfId="1" applyNumberFormat="1" applyFont="1" applyBorder="1" applyAlignment="1">
      <alignment horizontal="left"/>
    </xf>
    <xf numFmtId="1" fontId="52" fillId="0" borderId="35" xfId="0" applyNumberFormat="1" applyFont="1" applyBorder="1" applyAlignment="1">
      <alignment horizontal="left" vertical="center"/>
    </xf>
    <xf numFmtId="2" fontId="52" fillId="0" borderId="80" xfId="0" applyNumberFormat="1" applyFont="1" applyBorder="1" applyAlignment="1">
      <alignment horizontal="left" vertical="center"/>
    </xf>
    <xf numFmtId="0" fontId="57" fillId="0" borderId="0" xfId="0" applyFont="1"/>
    <xf numFmtId="0" fontId="28" fillId="0" borderId="48" xfId="0" applyFont="1" applyBorder="1" applyAlignment="1">
      <alignment horizontal="left"/>
    </xf>
    <xf numFmtId="0" fontId="21" fillId="0" borderId="8" xfId="0" applyFont="1" applyBorder="1"/>
    <xf numFmtId="0" fontId="21" fillId="0" borderId="28" xfId="0" applyFont="1" applyBorder="1"/>
    <xf numFmtId="0" fontId="21" fillId="0" borderId="7" xfId="0" applyFont="1" applyBorder="1"/>
    <xf numFmtId="0" fontId="21" fillId="0" borderId="9" xfId="0" applyFont="1" applyBorder="1"/>
    <xf numFmtId="0" fontId="21" fillId="0" borderId="13" xfId="0" applyFont="1" applyBorder="1"/>
    <xf numFmtId="0" fontId="21" fillId="0" borderId="1" xfId="0" applyFont="1" applyBorder="1"/>
    <xf numFmtId="0" fontId="22" fillId="0" borderId="4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8" fillId="0" borderId="15" xfId="0" applyFont="1" applyBorder="1" applyAlignment="1">
      <alignment horizontal="left"/>
    </xf>
    <xf numFmtId="0" fontId="23" fillId="0" borderId="4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58" fillId="0" borderId="1" xfId="0" applyFont="1" applyBorder="1"/>
    <xf numFmtId="0" fontId="58" fillId="0" borderId="3" xfId="0" applyFont="1" applyBorder="1"/>
    <xf numFmtId="0" fontId="58" fillId="0" borderId="4" xfId="0" applyFont="1" applyBorder="1"/>
    <xf numFmtId="0" fontId="58" fillId="0" borderId="13" xfId="0" applyFont="1" applyBorder="1"/>
    <xf numFmtId="0" fontId="58" fillId="0" borderId="0" xfId="0" applyFont="1"/>
    <xf numFmtId="0" fontId="28" fillId="0" borderId="45" xfId="0" applyFont="1" applyBorder="1" applyAlignment="1">
      <alignment horizontal="left"/>
    </xf>
    <xf numFmtId="0" fontId="58" fillId="0" borderId="62" xfId="0" applyFont="1" applyBorder="1"/>
    <xf numFmtId="0" fontId="58" fillId="0" borderId="67" xfId="0" applyFont="1" applyBorder="1"/>
    <xf numFmtId="0" fontId="58" fillId="0" borderId="12" xfId="0" applyFont="1" applyBorder="1"/>
    <xf numFmtId="0" fontId="58" fillId="0" borderId="31" xfId="0" applyFont="1" applyBorder="1"/>
    <xf numFmtId="0" fontId="28" fillId="0" borderId="53" xfId="0" applyFont="1" applyBorder="1" applyAlignment="1">
      <alignment horizontal="left"/>
    </xf>
    <xf numFmtId="0" fontId="40" fillId="0" borderId="61" xfId="0" applyFont="1" applyFill="1" applyBorder="1" applyAlignment="1">
      <alignment horizontal="left" vertical="justify" wrapText="1"/>
    </xf>
    <xf numFmtId="0" fontId="40" fillId="0" borderId="53" xfId="0" applyFont="1" applyFill="1" applyBorder="1" applyAlignment="1">
      <alignment horizontal="left" vertical="justify" wrapText="1"/>
    </xf>
    <xf numFmtId="0" fontId="27" fillId="0" borderId="0" xfId="0" applyFont="1"/>
    <xf numFmtId="0" fontId="24" fillId="0" borderId="0" xfId="0" applyFont="1" applyAlignment="1">
      <alignment horizontal="left"/>
    </xf>
    <xf numFmtId="1" fontId="25" fillId="0" borderId="44" xfId="0" applyNumberFormat="1" applyFont="1" applyFill="1" applyBorder="1" applyAlignment="1">
      <alignment horizontal="center" vertical="justify" wrapText="1"/>
    </xf>
    <xf numFmtId="1" fontId="25" fillId="0" borderId="44" xfId="0" applyNumberFormat="1" applyFont="1" applyFill="1" applyBorder="1" applyAlignment="1">
      <alignment horizontal="center" vertical="center" wrapText="1"/>
    </xf>
    <xf numFmtId="0" fontId="27" fillId="0" borderId="0" xfId="0" applyFont="1" applyFill="1"/>
    <xf numFmtId="0" fontId="41" fillId="0" borderId="0" xfId="0" applyFont="1"/>
    <xf numFmtId="0" fontId="24" fillId="0" borderId="71" xfId="0" applyFont="1" applyBorder="1" applyAlignment="1">
      <alignment horizontal="left"/>
    </xf>
    <xf numFmtId="0" fontId="21" fillId="0" borderId="48" xfId="0" applyFont="1" applyBorder="1"/>
    <xf numFmtId="0" fontId="21" fillId="0" borderId="10" xfId="0" applyFont="1" applyBorder="1"/>
    <xf numFmtId="0" fontId="21" fillId="0" borderId="75" xfId="0" applyFont="1" applyBorder="1"/>
    <xf numFmtId="0" fontId="21" fillId="0" borderId="14" xfId="0" applyFont="1" applyBorder="1"/>
    <xf numFmtId="0" fontId="49" fillId="0" borderId="16" xfId="0" applyFont="1" applyBorder="1" applyAlignment="1">
      <alignment horizontal="left"/>
    </xf>
    <xf numFmtId="0" fontId="24" fillId="0" borderId="29" xfId="0" applyFont="1" applyBorder="1" applyAlignment="1">
      <alignment horizontal="left"/>
    </xf>
    <xf numFmtId="172" fontId="19" fillId="0" borderId="73" xfId="0" applyNumberFormat="1" applyFont="1" applyBorder="1" applyAlignment="1">
      <alignment horizontal="left"/>
    </xf>
    <xf numFmtId="0" fontId="21" fillId="0" borderId="38" xfId="0" applyFont="1" applyBorder="1"/>
    <xf numFmtId="0" fontId="21" fillId="0" borderId="24" xfId="0" applyFont="1" applyBorder="1"/>
    <xf numFmtId="0" fontId="21" fillId="0" borderId="78" xfId="0" applyFont="1" applyBorder="1"/>
    <xf numFmtId="0" fontId="21" fillId="0" borderId="45" xfId="0" applyFont="1" applyBorder="1"/>
    <xf numFmtId="0" fontId="21" fillId="0" borderId="63" xfId="0" applyFont="1" applyBorder="1"/>
    <xf numFmtId="0" fontId="21" fillId="0" borderId="46" xfId="0" applyFont="1" applyBorder="1"/>
    <xf numFmtId="0" fontId="35" fillId="0" borderId="44" xfId="0" applyFont="1" applyBorder="1" applyAlignment="1">
      <alignment horizontal="left"/>
    </xf>
    <xf numFmtId="1" fontId="25" fillId="0" borderId="52" xfId="0" applyNumberFormat="1" applyFont="1" applyBorder="1" applyAlignment="1">
      <alignment horizontal="left" vertical="justify" wrapText="1"/>
    </xf>
    <xf numFmtId="1" fontId="25" fillId="0" borderId="52" xfId="0" applyNumberFormat="1" applyFont="1" applyBorder="1" applyAlignment="1">
      <alignment horizontal="left" vertical="center" wrapText="1"/>
    </xf>
    <xf numFmtId="1" fontId="25" fillId="0" borderId="52" xfId="0" applyNumberFormat="1" applyFont="1" applyFill="1" applyBorder="1" applyAlignment="1">
      <alignment horizontal="left" vertical="center" wrapText="1"/>
    </xf>
    <xf numFmtId="1" fontId="25" fillId="0" borderId="43" xfId="0" applyNumberFormat="1" applyFont="1" applyFill="1" applyBorder="1" applyAlignment="1">
      <alignment horizontal="left" vertical="center" wrapText="1"/>
    </xf>
    <xf numFmtId="1" fontId="25" fillId="0" borderId="40" xfId="0" applyNumberFormat="1" applyFont="1" applyBorder="1" applyAlignment="1">
      <alignment horizontal="left" vertical="center" wrapText="1"/>
    </xf>
    <xf numFmtId="1" fontId="25" fillId="0" borderId="42" xfId="0" applyNumberFormat="1" applyFont="1" applyBorder="1" applyAlignment="1">
      <alignment horizontal="left" vertical="center" wrapText="1"/>
    </xf>
    <xf numFmtId="1" fontId="25" fillId="0" borderId="51" xfId="0" applyNumberFormat="1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25" fillId="0" borderId="52" xfId="0" applyFont="1" applyFill="1" applyBorder="1" applyAlignment="1">
      <alignment horizontal="left" vertical="center" wrapText="1"/>
    </xf>
    <xf numFmtId="0" fontId="27" fillId="0" borderId="10" xfId="0" applyFont="1" applyBorder="1" applyAlignment="1">
      <alignment horizontal="left"/>
    </xf>
    <xf numFmtId="0" fontId="27" fillId="0" borderId="8" xfId="0" applyFont="1" applyBorder="1"/>
    <xf numFmtId="0" fontId="27" fillId="0" borderId="5" xfId="0" applyFont="1" applyBorder="1" applyAlignment="1">
      <alignment horizontal="left"/>
    </xf>
    <xf numFmtId="0" fontId="27" fillId="0" borderId="75" xfId="0" applyFont="1" applyBorder="1" applyAlignment="1">
      <alignment horizontal="left"/>
    </xf>
    <xf numFmtId="0" fontId="27" fillId="0" borderId="48" xfId="0" applyFont="1" applyBorder="1" applyAlignment="1">
      <alignment horizontal="left"/>
    </xf>
    <xf numFmtId="0" fontId="27" fillId="0" borderId="10" xfId="0" applyFont="1" applyBorder="1"/>
    <xf numFmtId="0" fontId="59" fillId="0" borderId="15" xfId="0" applyFont="1" applyBorder="1" applyAlignment="1">
      <alignment horizontal="left"/>
    </xf>
    <xf numFmtId="0" fontId="27" fillId="0" borderId="16" xfId="0" applyFont="1" applyBorder="1" applyAlignment="1">
      <alignment horizontal="left"/>
    </xf>
    <xf numFmtId="0" fontId="27" fillId="0" borderId="4" xfId="0" applyFont="1" applyBorder="1"/>
    <xf numFmtId="0" fontId="27" fillId="0" borderId="2" xfId="0" applyFont="1" applyBorder="1" applyAlignment="1">
      <alignment horizontal="left"/>
    </xf>
    <xf numFmtId="0" fontId="27" fillId="0" borderId="18" xfId="0" applyFont="1" applyBorder="1" applyAlignment="1">
      <alignment horizontal="left"/>
    </xf>
    <xf numFmtId="0" fontId="27" fillId="0" borderId="16" xfId="0" applyFont="1" applyBorder="1"/>
    <xf numFmtId="3" fontId="26" fillId="0" borderId="16" xfId="0" applyNumberFormat="1" applyFont="1" applyBorder="1" applyAlignment="1">
      <alignment horizontal="left"/>
    </xf>
    <xf numFmtId="0" fontId="27" fillId="0" borderId="24" xfId="0" applyFont="1" applyBorder="1" applyAlignment="1">
      <alignment horizontal="left"/>
    </xf>
    <xf numFmtId="0" fontId="27" fillId="0" borderId="78" xfId="0" applyFont="1" applyBorder="1" applyAlignment="1">
      <alignment horizontal="left"/>
    </xf>
    <xf numFmtId="0" fontId="27" fillId="0" borderId="20" xfId="0" applyFont="1" applyBorder="1"/>
    <xf numFmtId="0" fontId="27" fillId="0" borderId="21" xfId="0" applyFont="1" applyBorder="1" applyAlignment="1">
      <alignment horizontal="left"/>
    </xf>
    <xf numFmtId="0" fontId="27" fillId="0" borderId="22" xfId="0" applyFont="1" applyBorder="1" applyAlignment="1">
      <alignment horizontal="left"/>
    </xf>
    <xf numFmtId="3" fontId="26" fillId="0" borderId="24" xfId="0" applyNumberFormat="1" applyFont="1" applyBorder="1" applyAlignment="1">
      <alignment horizontal="left"/>
    </xf>
    <xf numFmtId="3" fontId="26" fillId="0" borderId="17" xfId="0" applyNumberFormat="1" applyFont="1" applyBorder="1" applyAlignment="1">
      <alignment horizontal="left"/>
    </xf>
    <xf numFmtId="0" fontId="27" fillId="0" borderId="50" xfId="0" applyFont="1" applyBorder="1"/>
    <xf numFmtId="0" fontId="27" fillId="0" borderId="68" xfId="0" applyFont="1" applyBorder="1" applyAlignment="1">
      <alignment horizontal="left"/>
    </xf>
    <xf numFmtId="0" fontId="41" fillId="0" borderId="57" xfId="0" applyFont="1" applyBorder="1" applyAlignment="1">
      <alignment horizontal="left"/>
    </xf>
    <xf numFmtId="0" fontId="27" fillId="0" borderId="0" xfId="0" applyFont="1" applyBorder="1"/>
    <xf numFmtId="3" fontId="41" fillId="0" borderId="57" xfId="0" applyNumberFormat="1" applyFont="1" applyBorder="1" applyAlignment="1">
      <alignment horizontal="left"/>
    </xf>
    <xf numFmtId="0" fontId="60" fillId="0" borderId="58" xfId="0" applyFont="1" applyBorder="1"/>
    <xf numFmtId="0" fontId="60" fillId="0" borderId="7" xfId="0" applyFont="1" applyBorder="1" applyAlignment="1">
      <alignment horizontal="left"/>
    </xf>
    <xf numFmtId="0" fontId="60" fillId="0" borderId="9" xfId="0" applyFont="1" applyBorder="1" applyAlignment="1">
      <alignment horizontal="left"/>
    </xf>
    <xf numFmtId="0" fontId="60" fillId="0" borderId="37" xfId="0" applyFont="1" applyBorder="1" applyAlignment="1">
      <alignment horizontal="left"/>
    </xf>
    <xf numFmtId="2" fontId="17" fillId="0" borderId="13" xfId="2" applyNumberFormat="1" applyFont="1" applyBorder="1" applyAlignment="1">
      <alignment horizontal="left"/>
    </xf>
    <xf numFmtId="2" fontId="17" fillId="0" borderId="12" xfId="2" applyNumberFormat="1" applyFont="1" applyBorder="1" applyAlignment="1">
      <alignment horizontal="left"/>
    </xf>
    <xf numFmtId="2" fontId="17" fillId="0" borderId="67" xfId="2" applyNumberFormat="1" applyFont="1" applyBorder="1" applyAlignment="1">
      <alignment horizontal="left"/>
    </xf>
    <xf numFmtId="2" fontId="18" fillId="0" borderId="67" xfId="0" applyNumberFormat="1" applyFont="1" applyBorder="1" applyAlignment="1">
      <alignment horizontal="left"/>
    </xf>
    <xf numFmtId="2" fontId="18" fillId="0" borderId="1" xfId="0" applyNumberFormat="1" applyFont="1" applyFill="1" applyBorder="1" applyAlignment="1">
      <alignment horizontal="left" vertical="top" shrinkToFit="1"/>
    </xf>
    <xf numFmtId="2" fontId="18" fillId="0" borderId="13" xfId="0" applyNumberFormat="1" applyFont="1" applyFill="1" applyBorder="1" applyAlignment="1">
      <alignment horizontal="left" vertical="top" shrinkToFit="1"/>
    </xf>
    <xf numFmtId="2" fontId="18" fillId="0" borderId="12" xfId="0" applyNumberFormat="1" applyFont="1" applyFill="1" applyBorder="1" applyAlignment="1">
      <alignment horizontal="left" vertical="top" shrinkToFit="1"/>
    </xf>
    <xf numFmtId="2" fontId="18" fillId="0" borderId="67" xfId="0" applyNumberFormat="1" applyFont="1" applyFill="1" applyBorder="1" applyAlignment="1">
      <alignment horizontal="left" vertical="top" shrinkToFit="1"/>
    </xf>
    <xf numFmtId="1" fontId="25" fillId="0" borderId="61" xfId="0" applyNumberFormat="1" applyFont="1" applyFill="1" applyBorder="1" applyAlignment="1">
      <alignment horizontal="center" vertical="center" wrapText="1"/>
    </xf>
    <xf numFmtId="1" fontId="25" fillId="0" borderId="57" xfId="0" applyNumberFormat="1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left"/>
    </xf>
    <xf numFmtId="0" fontId="23" fillId="0" borderId="70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1" fontId="25" fillId="0" borderId="61" xfId="0" applyNumberFormat="1" applyFont="1" applyFill="1" applyBorder="1" applyAlignment="1">
      <alignment horizontal="center" vertical="justify" wrapText="1"/>
    </xf>
    <xf numFmtId="1" fontId="25" fillId="0" borderId="57" xfId="0" applyNumberFormat="1" applyFont="1" applyFill="1" applyBorder="1" applyAlignment="1">
      <alignment horizontal="center" vertical="justify" wrapText="1"/>
    </xf>
    <xf numFmtId="1" fontId="18" fillId="0" borderId="61" xfId="0" applyNumberFormat="1" applyFont="1" applyBorder="1" applyAlignment="1">
      <alignment horizontal="left" vertical="center" wrapText="1"/>
    </xf>
    <xf numFmtId="1" fontId="18" fillId="0" borderId="55" xfId="0" applyNumberFormat="1" applyFont="1" applyBorder="1" applyAlignment="1">
      <alignment horizontal="left" vertical="center" wrapText="1"/>
    </xf>
    <xf numFmtId="1" fontId="18" fillId="0" borderId="57" xfId="0" applyNumberFormat="1" applyFont="1" applyBorder="1" applyAlignment="1">
      <alignment horizontal="left" vertical="center" wrapText="1"/>
    </xf>
    <xf numFmtId="1" fontId="18" fillId="0" borderId="70" xfId="0" applyNumberFormat="1" applyFont="1" applyBorder="1" applyAlignment="1">
      <alignment horizontal="left" vertical="center" wrapText="1"/>
    </xf>
    <xf numFmtId="1" fontId="18" fillId="0" borderId="51" xfId="0" applyNumberFormat="1" applyFont="1" applyBorder="1" applyAlignment="1">
      <alignment horizontal="left" vertical="center" wrapText="1"/>
    </xf>
    <xf numFmtId="1" fontId="18" fillId="0" borderId="61" xfId="0" applyNumberFormat="1" applyFont="1" applyFill="1" applyBorder="1" applyAlignment="1">
      <alignment horizontal="left" vertical="center" wrapText="1"/>
    </xf>
    <xf numFmtId="1" fontId="18" fillId="0" borderId="55" xfId="0" applyNumberFormat="1" applyFont="1" applyFill="1" applyBorder="1" applyAlignment="1">
      <alignment horizontal="left" vertical="center" wrapText="1"/>
    </xf>
    <xf numFmtId="1" fontId="18" fillId="0" borderId="0" xfId="0" applyNumberFormat="1" applyFont="1" applyFill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1" fontId="18" fillId="0" borderId="37" xfId="0" applyNumberFormat="1" applyFont="1" applyBorder="1" applyAlignment="1">
      <alignment horizontal="left" vertical="center"/>
    </xf>
    <xf numFmtId="1" fontId="18" fillId="0" borderId="15" xfId="0" applyNumberFormat="1" applyFont="1" applyBorder="1" applyAlignment="1">
      <alignment horizontal="left" vertical="center"/>
    </xf>
    <xf numFmtId="1" fontId="18" fillId="0" borderId="61" xfId="0" applyNumberFormat="1" applyFont="1" applyBorder="1" applyAlignment="1">
      <alignment horizontal="justify" vertical="justify" wrapText="1"/>
    </xf>
    <xf numFmtId="1" fontId="18" fillId="0" borderId="57" xfId="0" applyNumberFormat="1" applyFont="1" applyBorder="1" applyAlignment="1">
      <alignment horizontal="justify" vertical="justify" wrapText="1"/>
    </xf>
    <xf numFmtId="1" fontId="18" fillId="0" borderId="61" xfId="0" applyNumberFormat="1" applyFont="1" applyBorder="1" applyAlignment="1">
      <alignment horizontal="center" vertical="center" wrapText="1"/>
    </xf>
    <xf numFmtId="1" fontId="18" fillId="0" borderId="57" xfId="0" applyNumberFormat="1" applyFont="1" applyBorder="1" applyAlignment="1">
      <alignment horizontal="center" vertical="center" wrapText="1"/>
    </xf>
    <xf numFmtId="1" fontId="18" fillId="0" borderId="70" xfId="0" applyNumberFormat="1" applyFont="1" applyFill="1" applyBorder="1" applyAlignment="1">
      <alignment horizontal="left" vertical="center" wrapText="1"/>
    </xf>
    <xf numFmtId="1" fontId="18" fillId="0" borderId="51" xfId="0" applyNumberFormat="1" applyFont="1" applyFill="1" applyBorder="1" applyAlignment="1">
      <alignment horizontal="left" vertical="center" wrapText="1"/>
    </xf>
    <xf numFmtId="1" fontId="18" fillId="0" borderId="61" xfId="0" applyNumberFormat="1" applyFont="1" applyFill="1" applyBorder="1" applyAlignment="1">
      <alignment horizontal="center" vertical="center" wrapText="1"/>
    </xf>
    <xf numFmtId="1" fontId="18" fillId="0" borderId="57" xfId="0" applyNumberFormat="1" applyFont="1" applyFill="1" applyBorder="1" applyAlignment="1">
      <alignment horizontal="center" vertical="center" wrapText="1"/>
    </xf>
    <xf numFmtId="1" fontId="18" fillId="0" borderId="55" xfId="0" applyNumberFormat="1" applyFont="1" applyBorder="1" applyAlignment="1">
      <alignment horizontal="center" vertical="center" wrapText="1"/>
    </xf>
    <xf numFmtId="1" fontId="18" fillId="0" borderId="56" xfId="0" applyNumberFormat="1" applyFont="1" applyFill="1" applyBorder="1" applyAlignment="1">
      <alignment horizontal="left" vertical="center" wrapText="1"/>
    </xf>
    <xf numFmtId="1" fontId="18" fillId="0" borderId="65" xfId="0" applyNumberFormat="1" applyFont="1" applyFill="1" applyBorder="1" applyAlignment="1">
      <alignment horizontal="left" vertical="center" wrapText="1"/>
    </xf>
    <xf numFmtId="1" fontId="18" fillId="0" borderId="70" xfId="0" applyNumberFormat="1" applyFont="1" applyFill="1" applyBorder="1" applyAlignment="1">
      <alignment horizontal="center" vertical="center" wrapText="1"/>
    </xf>
    <xf numFmtId="1" fontId="18" fillId="0" borderId="52" xfId="0" applyNumberFormat="1" applyFont="1" applyFill="1" applyBorder="1" applyAlignment="1">
      <alignment horizontal="center" vertical="center" wrapText="1"/>
    </xf>
    <xf numFmtId="0" fontId="18" fillId="0" borderId="51" xfId="0" applyFont="1" applyFill="1" applyBorder="1" applyAlignment="1">
      <alignment horizontal="center" vertical="center" wrapText="1"/>
    </xf>
    <xf numFmtId="0" fontId="18" fillId="0" borderId="52" xfId="0" applyFont="1" applyFill="1" applyBorder="1" applyAlignment="1">
      <alignment horizontal="center" vertical="center" wrapText="1"/>
    </xf>
    <xf numFmtId="1" fontId="18" fillId="0" borderId="51" xfId="0" applyNumberFormat="1" applyFont="1" applyFill="1" applyBorder="1" applyAlignment="1">
      <alignment horizontal="center" vertical="center" wrapText="1"/>
    </xf>
    <xf numFmtId="1" fontId="18" fillId="0" borderId="70" xfId="0" applyNumberFormat="1" applyFont="1" applyBorder="1" applyAlignment="1">
      <alignment horizontal="center" vertical="center" wrapText="1"/>
    </xf>
    <xf numFmtId="1" fontId="18" fillId="0" borderId="52" xfId="0" applyNumberFormat="1" applyFont="1" applyBorder="1" applyAlignment="1">
      <alignment horizontal="center" vertical="center" wrapText="1"/>
    </xf>
    <xf numFmtId="1" fontId="18" fillId="0" borderId="51" xfId="0" applyNumberFormat="1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1" fontId="18" fillId="0" borderId="61" xfId="0" applyNumberFormat="1" applyFont="1" applyBorder="1" applyAlignment="1">
      <alignment horizontal="center" vertical="justify" wrapText="1"/>
    </xf>
    <xf numFmtId="1" fontId="18" fillId="0" borderId="57" xfId="0" applyNumberFormat="1" applyFont="1" applyBorder="1" applyAlignment="1">
      <alignment horizontal="center" vertical="justify" wrapText="1"/>
    </xf>
    <xf numFmtId="0" fontId="61" fillId="0" borderId="0" xfId="0" applyFont="1" applyBorder="1" applyAlignment="1">
      <alignment horizontal="left"/>
    </xf>
    <xf numFmtId="0" fontId="62" fillId="0" borderId="44" xfId="0" applyFont="1" applyBorder="1" applyAlignment="1">
      <alignment horizontal="center" vertical="center"/>
    </xf>
    <xf numFmtId="0" fontId="62" fillId="0" borderId="80" xfId="0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 wrapText="1"/>
    </xf>
    <xf numFmtId="0" fontId="23" fillId="0" borderId="58" xfId="0" applyFont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58" xfId="0" applyFont="1" applyFill="1" applyBorder="1" applyAlignment="1">
      <alignment horizontal="center" vertical="center" wrapText="1"/>
    </xf>
    <xf numFmtId="1" fontId="61" fillId="0" borderId="0" xfId="0" applyNumberFormat="1" applyFont="1" applyBorder="1" applyAlignment="1">
      <alignment horizontal="left"/>
    </xf>
    <xf numFmtId="1" fontId="25" fillId="0" borderId="70" xfId="0" applyNumberFormat="1" applyFont="1" applyBorder="1" applyAlignment="1">
      <alignment horizontal="center" vertical="center"/>
    </xf>
    <xf numFmtId="1" fontId="25" fillId="0" borderId="25" xfId="0" applyNumberFormat="1" applyFont="1" applyBorder="1" applyAlignment="1">
      <alignment horizontal="center" vertical="center"/>
    </xf>
    <xf numFmtId="1" fontId="25" fillId="0" borderId="61" xfId="0" applyNumberFormat="1" applyFont="1" applyBorder="1" applyAlignment="1">
      <alignment horizontal="center" vertical="center" wrapText="1"/>
    </xf>
    <xf numFmtId="1" fontId="25" fillId="0" borderId="55" xfId="0" applyNumberFormat="1" applyFont="1" applyBorder="1" applyAlignment="1">
      <alignment horizontal="center" vertical="center" wrapText="1"/>
    </xf>
    <xf numFmtId="1" fontId="25" fillId="0" borderId="57" xfId="0" applyNumberFormat="1" applyFont="1" applyBorder="1" applyAlignment="1">
      <alignment horizontal="center" vertical="center" wrapText="1"/>
    </xf>
    <xf numFmtId="1" fontId="25" fillId="0" borderId="55" xfId="0" applyNumberFormat="1" applyFont="1" applyFill="1" applyBorder="1" applyAlignment="1">
      <alignment horizontal="center" vertical="center" wrapText="1"/>
    </xf>
    <xf numFmtId="1" fontId="25" fillId="0" borderId="61" xfId="0" applyNumberFormat="1" applyFont="1" applyFill="1" applyBorder="1" applyAlignment="1">
      <alignment horizontal="left" vertical="center" wrapText="1"/>
    </xf>
    <xf numFmtId="1" fontId="25" fillId="0" borderId="55" xfId="0" applyNumberFormat="1" applyFont="1" applyFill="1" applyBorder="1" applyAlignment="1">
      <alignment horizontal="left" vertical="center" wrapText="1"/>
    </xf>
    <xf numFmtId="1" fontId="25" fillId="0" borderId="70" xfId="0" applyNumberFormat="1" applyFont="1" applyFill="1" applyBorder="1" applyAlignment="1">
      <alignment horizontal="left" vertical="center" wrapText="1"/>
    </xf>
    <xf numFmtId="1" fontId="25" fillId="0" borderId="51" xfId="0" applyNumberFormat="1" applyFont="1" applyFill="1" applyBorder="1" applyAlignment="1">
      <alignment horizontal="left" vertical="center" wrapText="1"/>
    </xf>
    <xf numFmtId="1" fontId="58" fillId="0" borderId="0" xfId="0" applyNumberFormat="1" applyFont="1" applyFill="1" applyBorder="1" applyAlignment="1">
      <alignment horizontal="left"/>
    </xf>
    <xf numFmtId="1" fontId="25" fillId="0" borderId="23" xfId="0" applyNumberFormat="1" applyFont="1" applyBorder="1" applyAlignment="1">
      <alignment horizontal="left" vertical="center"/>
    </xf>
    <xf numFmtId="1" fontId="25" fillId="0" borderId="72" xfId="0" applyNumberFormat="1" applyFont="1" applyBorder="1" applyAlignment="1">
      <alignment horizontal="left" vertical="center"/>
    </xf>
    <xf numFmtId="1" fontId="25" fillId="0" borderId="61" xfId="0" applyNumberFormat="1" applyFont="1" applyFill="1" applyBorder="1" applyAlignment="1">
      <alignment horizontal="justify" vertical="justify" wrapText="1"/>
    </xf>
    <xf numFmtId="1" fontId="25" fillId="0" borderId="57" xfId="0" applyNumberFormat="1" applyFont="1" applyFill="1" applyBorder="1" applyAlignment="1">
      <alignment horizontal="justify" vertical="justify" wrapText="1"/>
    </xf>
    <xf numFmtId="1" fontId="25" fillId="0" borderId="32" xfId="0" applyNumberFormat="1" applyFont="1" applyFill="1" applyBorder="1" applyAlignment="1">
      <alignment horizontal="center" vertical="center" wrapText="1"/>
    </xf>
    <xf numFmtId="1" fontId="25" fillId="0" borderId="34" xfId="0" applyNumberFormat="1" applyFont="1" applyFill="1" applyBorder="1" applyAlignment="1">
      <alignment horizontal="center" vertical="center" wrapText="1"/>
    </xf>
    <xf numFmtId="1" fontId="25" fillId="0" borderId="56" xfId="0" applyNumberFormat="1" applyFont="1" applyFill="1" applyBorder="1" applyAlignment="1">
      <alignment horizontal="left" vertical="center" wrapText="1"/>
    </xf>
    <xf numFmtId="1" fontId="25" fillId="0" borderId="65" xfId="0" applyNumberFormat="1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62" fillId="0" borderId="71" xfId="0" applyFont="1" applyBorder="1" applyAlignment="1">
      <alignment horizontal="center" vertical="center"/>
    </xf>
    <xf numFmtId="0" fontId="62" fillId="0" borderId="73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justify" vertical="justify" wrapText="1"/>
    </xf>
    <xf numFmtId="0" fontId="23" fillId="0" borderId="57" xfId="0" applyFont="1" applyBorder="1" applyAlignment="1">
      <alignment horizontal="justify" vertical="justify" wrapText="1"/>
    </xf>
    <xf numFmtId="0" fontId="23" fillId="0" borderId="61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1" fontId="23" fillId="0" borderId="61" xfId="0" applyNumberFormat="1" applyFont="1" applyBorder="1" applyAlignment="1">
      <alignment horizontal="center" vertical="center" wrapText="1"/>
    </xf>
    <xf numFmtId="1" fontId="23" fillId="0" borderId="55" xfId="0" applyNumberFormat="1" applyFont="1" applyBorder="1" applyAlignment="1">
      <alignment horizontal="center" vertical="center" wrapText="1"/>
    </xf>
    <xf numFmtId="0" fontId="23" fillId="0" borderId="61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3" fillId="0" borderId="57" xfId="0" applyFont="1" applyFill="1" applyBorder="1" applyAlignment="1">
      <alignment horizontal="center" vertical="center" wrapText="1"/>
    </xf>
    <xf numFmtId="1" fontId="23" fillId="0" borderId="61" xfId="0" applyNumberFormat="1" applyFont="1" applyFill="1" applyBorder="1" applyAlignment="1">
      <alignment horizontal="center" vertical="center" wrapText="1"/>
    </xf>
    <xf numFmtId="1" fontId="23" fillId="0" borderId="54" xfId="0" applyNumberFormat="1" applyFont="1" applyFill="1" applyBorder="1" applyAlignment="1">
      <alignment horizontal="center" vertical="center" wrapText="1"/>
    </xf>
    <xf numFmtId="1" fontId="23" fillId="0" borderId="57" xfId="0" applyNumberFormat="1" applyFont="1" applyBorder="1" applyAlignment="1">
      <alignment horizontal="center" vertical="center" wrapText="1"/>
    </xf>
    <xf numFmtId="1" fontId="23" fillId="0" borderId="55" xfId="0" applyNumberFormat="1" applyFont="1" applyFill="1" applyBorder="1" applyAlignment="1">
      <alignment horizontal="center" vertical="center" wrapText="1"/>
    </xf>
    <xf numFmtId="1" fontId="23" fillId="0" borderId="57" xfId="0" applyNumberFormat="1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1" fontId="25" fillId="0" borderId="70" xfId="0" applyNumberFormat="1" applyFont="1" applyFill="1" applyBorder="1" applyAlignment="1">
      <alignment horizontal="center" vertical="center" wrapText="1"/>
    </xf>
    <xf numFmtId="1" fontId="25" fillId="0" borderId="52" xfId="0" applyNumberFormat="1" applyFont="1" applyFill="1" applyBorder="1" applyAlignment="1">
      <alignment horizontal="center" vertical="center" wrapText="1"/>
    </xf>
    <xf numFmtId="1" fontId="25" fillId="0" borderId="51" xfId="0" applyNumberFormat="1" applyFont="1" applyFill="1" applyBorder="1" applyAlignment="1">
      <alignment horizontal="center" vertical="center" wrapText="1"/>
    </xf>
    <xf numFmtId="0" fontId="37" fillId="0" borderId="44" xfId="0" applyFont="1" applyBorder="1" applyAlignment="1">
      <alignment horizontal="center"/>
    </xf>
    <xf numFmtId="0" fontId="37" fillId="0" borderId="14" xfId="0" applyFont="1" applyBorder="1" applyAlignment="1">
      <alignment horizontal="center"/>
    </xf>
    <xf numFmtId="0" fontId="40" fillId="0" borderId="71" xfId="0" applyFont="1" applyBorder="1" applyAlignment="1">
      <alignment horizontal="center"/>
    </xf>
    <xf numFmtId="0" fontId="40" fillId="0" borderId="73" xfId="0" applyFont="1" applyBorder="1" applyAlignment="1">
      <alignment horizontal="center"/>
    </xf>
    <xf numFmtId="0" fontId="64" fillId="0" borderId="0" xfId="0" applyFont="1" applyBorder="1" applyAlignment="1">
      <alignment horizontal="left"/>
    </xf>
    <xf numFmtId="0" fontId="52" fillId="0" borderId="61" xfId="0" applyFont="1" applyBorder="1" applyAlignment="1">
      <alignment horizontal="center" vertical="center"/>
    </xf>
    <xf numFmtId="0" fontId="52" fillId="0" borderId="55" xfId="0" applyFont="1" applyBorder="1" applyAlignment="1">
      <alignment horizontal="center" vertical="center"/>
    </xf>
    <xf numFmtId="0" fontId="52" fillId="0" borderId="57" xfId="0" applyFont="1" applyBorder="1" applyAlignment="1">
      <alignment horizontal="center" vertical="center"/>
    </xf>
    <xf numFmtId="0" fontId="52" fillId="0" borderId="61" xfId="0" applyFont="1" applyBorder="1" applyAlignment="1">
      <alignment horizontal="center" vertical="center" wrapText="1"/>
    </xf>
    <xf numFmtId="0" fontId="52" fillId="0" borderId="55" xfId="0" applyFont="1" applyBorder="1" applyAlignment="1">
      <alignment horizontal="center" vertical="center" wrapText="1"/>
    </xf>
    <xf numFmtId="0" fontId="52" fillId="0" borderId="57" xfId="0" applyFont="1" applyBorder="1" applyAlignment="1">
      <alignment horizontal="center" vertical="center" wrapText="1"/>
    </xf>
    <xf numFmtId="0" fontId="52" fillId="0" borderId="51" xfId="0" applyFont="1" applyBorder="1" applyAlignment="1">
      <alignment horizontal="left" vertical="center" wrapText="1"/>
    </xf>
    <xf numFmtId="0" fontId="52" fillId="0" borderId="52" xfId="0" applyFont="1" applyBorder="1" applyAlignment="1">
      <alignment horizontal="left" vertical="center" wrapText="1"/>
    </xf>
    <xf numFmtId="0" fontId="52" fillId="0" borderId="71" xfId="0" applyFont="1" applyBorder="1" applyAlignment="1">
      <alignment horizontal="left" vertical="center" wrapText="1"/>
    </xf>
    <xf numFmtId="0" fontId="52" fillId="0" borderId="59" xfId="0" applyFont="1" applyBorder="1" applyAlignment="1">
      <alignment horizontal="left" vertical="center" wrapText="1"/>
    </xf>
    <xf numFmtId="0" fontId="52" fillId="0" borderId="58" xfId="0" applyFont="1" applyBorder="1" applyAlignment="1">
      <alignment horizontal="left" vertical="center" wrapText="1"/>
    </xf>
    <xf numFmtId="0" fontId="52" fillId="0" borderId="32" xfId="0" applyFont="1" applyBorder="1" applyAlignment="1">
      <alignment horizontal="left" vertical="center" wrapText="1"/>
    </xf>
    <xf numFmtId="0" fontId="52" fillId="0" borderId="33" xfId="0" applyFont="1" applyBorder="1" applyAlignment="1">
      <alignment horizontal="left" vertical="center" wrapText="1"/>
    </xf>
    <xf numFmtId="0" fontId="52" fillId="0" borderId="34" xfId="0" applyFont="1" applyBorder="1" applyAlignment="1">
      <alignment horizontal="left" vertical="center" wrapText="1"/>
    </xf>
    <xf numFmtId="0" fontId="52" fillId="0" borderId="47" xfId="0" applyFont="1" applyBorder="1" applyAlignment="1">
      <alignment horizontal="left" vertical="center" wrapText="1"/>
    </xf>
    <xf numFmtId="0" fontId="52" fillId="0" borderId="56" xfId="0" applyFont="1" applyBorder="1" applyAlignment="1">
      <alignment horizontal="left" vertical="center" wrapText="1"/>
    </xf>
    <xf numFmtId="0" fontId="52" fillId="0" borderId="64" xfId="0" applyFont="1" applyBorder="1" applyAlignment="1">
      <alignment horizontal="left" vertical="center" wrapText="1"/>
    </xf>
    <xf numFmtId="0" fontId="52" fillId="0" borderId="66" xfId="0" applyFont="1" applyBorder="1" applyAlignment="1">
      <alignment horizontal="left" vertical="center" wrapText="1"/>
    </xf>
    <xf numFmtId="0" fontId="52" fillId="0" borderId="61" xfId="0" applyFont="1" applyFill="1" applyBorder="1" applyAlignment="1">
      <alignment horizontal="center" vertical="center" wrapText="1"/>
    </xf>
    <xf numFmtId="0" fontId="52" fillId="0" borderId="55" xfId="0" applyFont="1" applyFill="1" applyBorder="1" applyAlignment="1">
      <alignment horizontal="center" vertical="center" wrapText="1"/>
    </xf>
    <xf numFmtId="0" fontId="52" fillId="0" borderId="57" xfId="0" applyFont="1" applyFill="1" applyBorder="1" applyAlignment="1">
      <alignment horizontal="center" vertical="center" wrapText="1"/>
    </xf>
    <xf numFmtId="0" fontId="52" fillId="0" borderId="71" xfId="0" applyFont="1" applyBorder="1" applyAlignment="1">
      <alignment horizontal="center" vertical="center" wrapText="1"/>
    </xf>
    <xf numFmtId="0" fontId="52" fillId="0" borderId="59" xfId="0" applyFont="1" applyBorder="1" applyAlignment="1">
      <alignment horizontal="center" vertical="center" wrapText="1"/>
    </xf>
    <xf numFmtId="0" fontId="52" fillId="0" borderId="58" xfId="0" applyFont="1" applyBorder="1" applyAlignment="1">
      <alignment horizontal="center" vertical="center" wrapText="1"/>
    </xf>
    <xf numFmtId="0" fontId="52" fillId="0" borderId="71" xfId="0" applyFont="1" applyFill="1" applyBorder="1" applyAlignment="1">
      <alignment horizontal="center" vertical="center" wrapText="1"/>
    </xf>
    <xf numFmtId="0" fontId="52" fillId="0" borderId="59" xfId="0" applyFont="1" applyFill="1" applyBorder="1" applyAlignment="1">
      <alignment horizontal="center" vertical="center" wrapText="1"/>
    </xf>
    <xf numFmtId="0" fontId="52" fillId="0" borderId="58" xfId="0" applyFont="1" applyFill="1" applyBorder="1" applyAlignment="1">
      <alignment horizontal="center" vertical="center" wrapText="1"/>
    </xf>
    <xf numFmtId="0" fontId="63" fillId="0" borderId="70" xfId="0" applyFont="1" applyBorder="1" applyAlignment="1">
      <alignment horizontal="center"/>
    </xf>
    <xf numFmtId="0" fontId="63" fillId="0" borderId="51" xfId="0" applyFont="1" applyBorder="1" applyAlignment="1">
      <alignment horizontal="center"/>
    </xf>
    <xf numFmtId="0" fontId="63" fillId="0" borderId="52" xfId="0" applyFont="1" applyBorder="1" applyAlignment="1">
      <alignment horizontal="center"/>
    </xf>
    <xf numFmtId="0" fontId="63" fillId="0" borderId="61" xfId="0" applyFont="1" applyBorder="1" applyAlignment="1">
      <alignment horizontal="center"/>
    </xf>
    <xf numFmtId="0" fontId="63" fillId="0" borderId="55" xfId="0" applyFont="1" applyBorder="1" applyAlignment="1">
      <alignment horizontal="center"/>
    </xf>
    <xf numFmtId="0" fontId="63" fillId="0" borderId="57" xfId="0" applyFont="1" applyBorder="1" applyAlignment="1">
      <alignment horizontal="center"/>
    </xf>
    <xf numFmtId="0" fontId="1" fillId="0" borderId="55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61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/>
    </xf>
    <xf numFmtId="0" fontId="18" fillId="0" borderId="44" xfId="0" applyFont="1" applyBorder="1" applyAlignment="1">
      <alignment horizontal="left" vertical="center"/>
    </xf>
    <xf numFmtId="0" fontId="18" fillId="0" borderId="80" xfId="0" applyFont="1" applyBorder="1" applyAlignment="1">
      <alignment horizontal="left" vertical="center"/>
    </xf>
    <xf numFmtId="0" fontId="1" fillId="0" borderId="61" xfId="0" applyFont="1" applyBorder="1" applyAlignment="1">
      <alignment horizontal="justify" vertical="justify" wrapText="1"/>
    </xf>
    <xf numFmtId="0" fontId="1" fillId="0" borderId="57" xfId="0" applyFont="1" applyBorder="1" applyAlignment="1">
      <alignment horizontal="justify" vertical="justify" wrapText="1"/>
    </xf>
    <xf numFmtId="0" fontId="18" fillId="0" borderId="61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18" fillId="0" borderId="61" xfId="0" applyFont="1" applyFill="1" applyBorder="1" applyAlignment="1">
      <alignment horizontal="center" vertical="center" wrapText="1"/>
    </xf>
    <xf numFmtId="0" fontId="18" fillId="0" borderId="5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23" fillId="0" borderId="44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" fillId="0" borderId="61" xfId="0" applyFont="1" applyBorder="1" applyAlignment="1">
      <alignment horizontal="center" vertical="justify" wrapText="1"/>
    </xf>
    <xf numFmtId="0" fontId="2" fillId="0" borderId="57" xfId="0" applyFont="1" applyBorder="1" applyAlignment="1">
      <alignment horizontal="center" vertical="justify" wrapText="1"/>
    </xf>
    <xf numFmtId="0" fontId="2" fillId="0" borderId="61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justify" wrapText="1"/>
    </xf>
    <xf numFmtId="0" fontId="2" fillId="0" borderId="61" xfId="0" applyFont="1" applyFill="1" applyBorder="1" applyAlignment="1">
      <alignment horizontal="center" vertical="justify" wrapText="1"/>
    </xf>
    <xf numFmtId="0" fontId="2" fillId="0" borderId="57" xfId="0" applyFont="1" applyFill="1" applyBorder="1" applyAlignment="1">
      <alignment horizontal="center" vertical="justify" wrapText="1"/>
    </xf>
    <xf numFmtId="0" fontId="2" fillId="0" borderId="55" xfId="0" applyFont="1" applyFill="1" applyBorder="1" applyAlignment="1">
      <alignment horizontal="center" vertical="justify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70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8" fillId="0" borderId="55" xfId="0" applyFont="1" applyFill="1" applyBorder="1" applyAlignment="1">
      <alignment horizontal="center" vertical="center" wrapText="1"/>
    </xf>
    <xf numFmtId="0" fontId="40" fillId="0" borderId="70" xfId="0" applyFont="1" applyBorder="1" applyAlignment="1">
      <alignment horizontal="left"/>
    </xf>
    <xf numFmtId="0" fontId="40" fillId="0" borderId="51" xfId="0" applyFont="1" applyBorder="1" applyAlignment="1">
      <alignment horizontal="left"/>
    </xf>
    <xf numFmtId="2" fontId="40" fillId="0" borderId="35" xfId="0" applyNumberFormat="1" applyFont="1" applyBorder="1" applyAlignment="1">
      <alignment horizontal="left" vertical="center"/>
    </xf>
    <xf numFmtId="2" fontId="40" fillId="0" borderId="80" xfId="0" applyNumberFormat="1" applyFont="1" applyBorder="1" applyAlignment="1">
      <alignment horizontal="left" vertical="center"/>
    </xf>
    <xf numFmtId="2" fontId="27" fillId="0" borderId="12" xfId="2" applyNumberFormat="1" applyFont="1" applyBorder="1" applyAlignment="1">
      <alignment horizontal="left"/>
    </xf>
    <xf numFmtId="2" fontId="27" fillId="0" borderId="31" xfId="2" applyNumberFormat="1" applyFont="1" applyBorder="1" applyAlignment="1">
      <alignment horizontal="left"/>
    </xf>
  </cellXfs>
  <cellStyles count="3">
    <cellStyle name="Comma" xfId="1" builtinId="3"/>
    <cellStyle name="Comma 18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X60"/>
  <sheetViews>
    <sheetView tabSelected="1" workbookViewId="0">
      <pane xSplit="1" topLeftCell="B1" activePane="topRight" state="frozen"/>
      <selection pane="topRight" activeCell="AU61" sqref="AU61"/>
    </sheetView>
  </sheetViews>
  <sheetFormatPr defaultRowHeight="16.5" x14ac:dyDescent="0.3"/>
  <cols>
    <col min="1" max="1" width="65" style="67" bestFit="1" customWidth="1"/>
    <col min="2" max="2" width="3.85546875" style="67" customWidth="1"/>
    <col min="3" max="5" width="14.5703125" style="67" bestFit="1" customWidth="1"/>
    <col min="6" max="6" width="14.42578125" style="67" customWidth="1"/>
    <col min="7" max="7" width="13.85546875" style="67" customWidth="1"/>
    <col min="8" max="8" width="14.85546875" style="67" customWidth="1"/>
    <col min="9" max="9" width="13.140625" style="67" customWidth="1"/>
    <col min="10" max="10" width="14.140625" style="67" customWidth="1"/>
    <col min="11" max="11" width="14.85546875" style="67" customWidth="1"/>
    <col min="12" max="12" width="12.42578125" style="67" customWidth="1"/>
    <col min="13" max="13" width="13" style="309" customWidth="1"/>
    <col min="14" max="14" width="14.42578125" style="309" customWidth="1"/>
    <col min="15" max="23" width="14.5703125" style="67" bestFit="1" customWidth="1"/>
    <col min="24" max="24" width="14" style="67" customWidth="1"/>
    <col min="25" max="42" width="14.5703125" style="67" bestFit="1" customWidth="1"/>
    <col min="43" max="43" width="12.28515625" style="67" customWidth="1"/>
    <col min="44" max="47" width="14.5703125" style="67" bestFit="1" customWidth="1"/>
    <col min="48" max="48" width="13.28515625" style="67" customWidth="1"/>
    <col min="49" max="49" width="16.85546875" style="67" bestFit="1" customWidth="1"/>
    <col min="50" max="50" width="15.7109375" style="67" bestFit="1" customWidth="1"/>
    <col min="51" max="16384" width="9.140625" style="67"/>
  </cols>
  <sheetData>
    <row r="1" spans="1:50" ht="18.75" thickBot="1" x14ac:dyDescent="0.4">
      <c r="A1" s="1179" t="s">
        <v>247</v>
      </c>
      <c r="B1" s="1179"/>
      <c r="C1" s="1179"/>
      <c r="D1" s="1179"/>
      <c r="E1" s="1179"/>
      <c r="F1" s="1179"/>
      <c r="G1" s="1179"/>
      <c r="H1" s="1179"/>
      <c r="I1" s="1179"/>
      <c r="J1" s="1179"/>
      <c r="K1" s="1179"/>
      <c r="L1" s="1179"/>
      <c r="M1" s="1179"/>
      <c r="N1" s="1179"/>
      <c r="O1" s="1179"/>
      <c r="P1" s="1179"/>
      <c r="Q1" s="1179"/>
      <c r="R1" s="1179"/>
      <c r="S1" s="1179"/>
      <c r="T1" s="1179"/>
      <c r="U1" s="1179"/>
      <c r="V1" s="1179"/>
      <c r="W1" s="1179"/>
      <c r="X1" s="1179"/>
      <c r="Y1" s="1179"/>
      <c r="Z1" s="1179"/>
      <c r="AA1" s="1179"/>
      <c r="AB1" s="1179"/>
      <c r="AC1" s="1179"/>
      <c r="AD1" s="1179"/>
      <c r="AE1" s="1179"/>
      <c r="AF1" s="1179"/>
      <c r="AG1" s="1179"/>
      <c r="AH1" s="1179"/>
      <c r="AI1" s="1179"/>
      <c r="AJ1" s="1179"/>
      <c r="AK1" s="1179"/>
      <c r="AL1" s="1179"/>
      <c r="AM1" s="1179"/>
      <c r="AN1" s="1179"/>
      <c r="AO1" s="1179"/>
      <c r="AP1" s="1179"/>
      <c r="AQ1" s="1179"/>
      <c r="AR1" s="1179"/>
      <c r="AS1" s="1179"/>
      <c r="AT1" s="1179"/>
      <c r="AU1" s="1179"/>
      <c r="AV1" s="1179"/>
      <c r="AW1" s="1179"/>
      <c r="AX1" s="1179"/>
    </row>
    <row r="2" spans="1:50" ht="69" customHeight="1" thickBot="1" x14ac:dyDescent="0.35">
      <c r="A2" s="1180" t="s">
        <v>0</v>
      </c>
      <c r="B2" s="495"/>
      <c r="C2" s="1182" t="s">
        <v>153</v>
      </c>
      <c r="D2" s="1183"/>
      <c r="E2" s="1177" t="s">
        <v>154</v>
      </c>
      <c r="F2" s="1178"/>
      <c r="G2" s="1177" t="s">
        <v>155</v>
      </c>
      <c r="H2" s="1178"/>
      <c r="I2" s="1177" t="s">
        <v>156</v>
      </c>
      <c r="J2" s="1178"/>
      <c r="K2" s="1177" t="s">
        <v>157</v>
      </c>
      <c r="L2" s="1178"/>
      <c r="M2" s="1177" t="s">
        <v>158</v>
      </c>
      <c r="N2" s="1178"/>
      <c r="O2" s="1177" t="s">
        <v>291</v>
      </c>
      <c r="P2" s="1178"/>
      <c r="Q2" s="1177" t="s">
        <v>159</v>
      </c>
      <c r="R2" s="1178"/>
      <c r="S2" s="1177" t="s">
        <v>160</v>
      </c>
      <c r="T2" s="1178"/>
      <c r="U2" s="1177" t="s">
        <v>161</v>
      </c>
      <c r="V2" s="1178"/>
      <c r="W2" s="1177" t="s">
        <v>162</v>
      </c>
      <c r="X2" s="1178"/>
      <c r="Y2" s="1177" t="s">
        <v>163</v>
      </c>
      <c r="Z2" s="1178"/>
      <c r="AA2" s="1177" t="s">
        <v>164</v>
      </c>
      <c r="AB2" s="1178"/>
      <c r="AC2" s="1177" t="s">
        <v>165</v>
      </c>
      <c r="AD2" s="1178"/>
      <c r="AE2" s="1177" t="s">
        <v>166</v>
      </c>
      <c r="AF2" s="1178"/>
      <c r="AG2" s="1177" t="s">
        <v>167</v>
      </c>
      <c r="AH2" s="1178"/>
      <c r="AI2" s="1177" t="s">
        <v>168</v>
      </c>
      <c r="AJ2" s="1178"/>
      <c r="AK2" s="1177" t="s">
        <v>169</v>
      </c>
      <c r="AL2" s="1178"/>
      <c r="AM2" s="1177" t="s">
        <v>170</v>
      </c>
      <c r="AN2" s="1178"/>
      <c r="AO2" s="1177" t="s">
        <v>171</v>
      </c>
      <c r="AP2" s="1178"/>
      <c r="AQ2" s="1177" t="s">
        <v>172</v>
      </c>
      <c r="AR2" s="1178"/>
      <c r="AS2" s="1177" t="s">
        <v>173</v>
      </c>
      <c r="AT2" s="1178"/>
      <c r="AU2" s="1177" t="s">
        <v>174</v>
      </c>
      <c r="AV2" s="1178"/>
      <c r="AW2" s="1177" t="s">
        <v>175</v>
      </c>
      <c r="AX2" s="1178"/>
    </row>
    <row r="3" spans="1:50" s="364" customFormat="1" ht="15" customHeight="1" thickBot="1" x14ac:dyDescent="0.35">
      <c r="A3" s="1181"/>
      <c r="B3" s="507"/>
      <c r="C3" s="406" t="s">
        <v>289</v>
      </c>
      <c r="D3" s="406" t="s">
        <v>281</v>
      </c>
      <c r="E3" s="406" t="s">
        <v>289</v>
      </c>
      <c r="F3" s="406" t="s">
        <v>281</v>
      </c>
      <c r="G3" s="406" t="s">
        <v>289</v>
      </c>
      <c r="H3" s="406" t="s">
        <v>281</v>
      </c>
      <c r="I3" s="406" t="s">
        <v>289</v>
      </c>
      <c r="J3" s="406" t="s">
        <v>281</v>
      </c>
      <c r="K3" s="406" t="s">
        <v>289</v>
      </c>
      <c r="L3" s="406" t="s">
        <v>281</v>
      </c>
      <c r="M3" s="406" t="s">
        <v>289</v>
      </c>
      <c r="N3" s="406" t="s">
        <v>281</v>
      </c>
      <c r="O3" s="406" t="s">
        <v>289</v>
      </c>
      <c r="P3" s="406" t="s">
        <v>281</v>
      </c>
      <c r="Q3" s="406" t="s">
        <v>289</v>
      </c>
      <c r="R3" s="406" t="s">
        <v>281</v>
      </c>
      <c r="S3" s="406" t="s">
        <v>289</v>
      </c>
      <c r="T3" s="406" t="s">
        <v>281</v>
      </c>
      <c r="U3" s="406" t="s">
        <v>289</v>
      </c>
      <c r="V3" s="406" t="s">
        <v>281</v>
      </c>
      <c r="W3" s="406" t="s">
        <v>289</v>
      </c>
      <c r="X3" s="406"/>
      <c r="Y3" s="406" t="s">
        <v>289</v>
      </c>
      <c r="Z3" s="406" t="s">
        <v>281</v>
      </c>
      <c r="AA3" s="406" t="s">
        <v>289</v>
      </c>
      <c r="AB3" s="406" t="s">
        <v>281</v>
      </c>
      <c r="AC3" s="406" t="s">
        <v>289</v>
      </c>
      <c r="AD3" s="406" t="s">
        <v>281</v>
      </c>
      <c r="AE3" s="406" t="s">
        <v>289</v>
      </c>
      <c r="AF3" s="406" t="s">
        <v>281</v>
      </c>
      <c r="AG3" s="406" t="s">
        <v>289</v>
      </c>
      <c r="AH3" s="406" t="s">
        <v>281</v>
      </c>
      <c r="AI3" s="406" t="s">
        <v>289</v>
      </c>
      <c r="AJ3" s="406" t="s">
        <v>281</v>
      </c>
      <c r="AK3" s="406" t="s">
        <v>289</v>
      </c>
      <c r="AL3" s="406" t="s">
        <v>281</v>
      </c>
      <c r="AM3" s="406" t="s">
        <v>289</v>
      </c>
      <c r="AN3" s="406" t="s">
        <v>281</v>
      </c>
      <c r="AO3" s="406" t="s">
        <v>289</v>
      </c>
      <c r="AP3" s="406" t="s">
        <v>281</v>
      </c>
      <c r="AQ3" s="406" t="s">
        <v>289</v>
      </c>
      <c r="AR3" s="406" t="s">
        <v>281</v>
      </c>
      <c r="AS3" s="406" t="s">
        <v>289</v>
      </c>
      <c r="AT3" s="406" t="s">
        <v>281</v>
      </c>
      <c r="AU3" s="406" t="s">
        <v>289</v>
      </c>
      <c r="AV3" s="406" t="s">
        <v>281</v>
      </c>
      <c r="AW3" s="406" t="s">
        <v>289</v>
      </c>
      <c r="AX3" s="406" t="s">
        <v>281</v>
      </c>
    </row>
    <row r="4" spans="1:50" ht="15" customHeight="1" x14ac:dyDescent="0.3">
      <c r="A4" s="329" t="s">
        <v>21</v>
      </c>
      <c r="B4" s="332"/>
      <c r="C4" s="330"/>
      <c r="D4" s="579"/>
      <c r="E4" s="331"/>
      <c r="F4" s="331"/>
      <c r="G4" s="334"/>
      <c r="H4" s="331"/>
      <c r="I4" s="331"/>
      <c r="J4" s="331"/>
      <c r="K4" s="331"/>
      <c r="L4" s="331"/>
      <c r="M4" s="337"/>
      <c r="N4" s="337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331"/>
      <c r="AL4" s="331"/>
      <c r="AM4" s="331"/>
      <c r="AN4" s="331"/>
      <c r="AO4" s="331"/>
      <c r="AP4" s="331"/>
      <c r="AQ4" s="331"/>
      <c r="AR4" s="331"/>
      <c r="AS4" s="331"/>
      <c r="AT4" s="331"/>
      <c r="AU4" s="331"/>
      <c r="AV4" s="331"/>
      <c r="AW4" s="334"/>
      <c r="AX4" s="331"/>
    </row>
    <row r="5" spans="1:50" ht="25.5" customHeight="1" x14ac:dyDescent="0.3">
      <c r="A5" s="273" t="s">
        <v>22</v>
      </c>
      <c r="B5" s="328" t="s">
        <v>183</v>
      </c>
      <c r="C5" s="324">
        <v>39833374</v>
      </c>
      <c r="D5" s="580">
        <v>30855433</v>
      </c>
      <c r="E5" s="326">
        <v>2312388</v>
      </c>
      <c r="F5" s="326">
        <v>2396601</v>
      </c>
      <c r="G5" s="335"/>
      <c r="H5" s="326">
        <v>4928410</v>
      </c>
      <c r="I5" s="326">
        <v>43768044</v>
      </c>
      <c r="J5" s="326">
        <v>40723250</v>
      </c>
      <c r="K5" s="326">
        <v>9123864</v>
      </c>
      <c r="L5" s="326">
        <v>9559827</v>
      </c>
      <c r="M5" s="338">
        <v>21838317</v>
      </c>
      <c r="N5" s="338">
        <v>17954020</v>
      </c>
      <c r="O5" s="326">
        <v>4468958</v>
      </c>
      <c r="P5" s="583">
        <v>6278137</v>
      </c>
      <c r="Q5" s="340">
        <v>4496104</v>
      </c>
      <c r="R5" s="340">
        <v>3946983</v>
      </c>
      <c r="S5" s="326">
        <v>13186972</v>
      </c>
      <c r="T5" s="326">
        <v>13609790</v>
      </c>
      <c r="U5" s="326">
        <v>4228699</v>
      </c>
      <c r="V5" s="326">
        <v>5880658</v>
      </c>
      <c r="W5" s="326">
        <v>160450903</v>
      </c>
      <c r="X5" s="326">
        <v>140909901</v>
      </c>
      <c r="Y5" s="326">
        <v>144801782</v>
      </c>
      <c r="Z5" s="326">
        <v>145200535</v>
      </c>
      <c r="AA5" s="344">
        <v>7749127</v>
      </c>
      <c r="AB5" s="344">
        <v>8014286</v>
      </c>
      <c r="AC5" s="326">
        <v>16675561</v>
      </c>
      <c r="AD5" s="326">
        <v>14621853</v>
      </c>
      <c r="AE5" s="326">
        <v>36072679</v>
      </c>
      <c r="AF5" s="326">
        <v>38306609</v>
      </c>
      <c r="AG5" s="326">
        <v>72834310</v>
      </c>
      <c r="AH5" s="326">
        <v>64320819</v>
      </c>
      <c r="AI5" s="326">
        <v>22219985</v>
      </c>
      <c r="AJ5" s="326">
        <v>22131828</v>
      </c>
      <c r="AK5" s="326">
        <v>18890992</v>
      </c>
      <c r="AL5" s="326">
        <v>19236064</v>
      </c>
      <c r="AM5" s="347"/>
      <c r="AN5" s="347"/>
      <c r="AO5" s="348">
        <v>207330880</v>
      </c>
      <c r="AP5" s="331">
        <v>169378513</v>
      </c>
      <c r="AQ5" s="351">
        <v>6655934</v>
      </c>
      <c r="AR5" s="351">
        <v>6952935</v>
      </c>
      <c r="AS5" s="345">
        <v>11231211</v>
      </c>
      <c r="AT5" s="345">
        <v>8912257</v>
      </c>
      <c r="AU5" s="326">
        <v>42690851</v>
      </c>
      <c r="AV5" s="326">
        <v>31357942</v>
      </c>
      <c r="AW5" s="589"/>
      <c r="AX5" s="345">
        <v>1804808184</v>
      </c>
    </row>
    <row r="6" spans="1:50" x14ac:dyDescent="0.3">
      <c r="A6" s="273" t="s">
        <v>184</v>
      </c>
      <c r="B6" s="333"/>
      <c r="C6" s="324">
        <v>-1469401</v>
      </c>
      <c r="D6" s="580">
        <v>-1228244</v>
      </c>
      <c r="E6" s="326">
        <v>-343219</v>
      </c>
      <c r="F6" s="326">
        <v>-299703</v>
      </c>
      <c r="G6" s="335"/>
      <c r="H6" s="326">
        <v>-292202</v>
      </c>
      <c r="I6" s="326">
        <v>-459713</v>
      </c>
      <c r="J6" s="326">
        <v>-342914</v>
      </c>
      <c r="K6" s="326">
        <v>-151281</v>
      </c>
      <c r="L6" s="326">
        <v>-145223</v>
      </c>
      <c r="M6" s="338">
        <v>-657260</v>
      </c>
      <c r="N6" s="338">
        <v>-381360</v>
      </c>
      <c r="O6" s="326">
        <v>-358132</v>
      </c>
      <c r="P6" s="326">
        <v>-562922</v>
      </c>
      <c r="Q6" s="341">
        <v>-184325</v>
      </c>
      <c r="R6" s="341">
        <v>-214380</v>
      </c>
      <c r="S6" s="326">
        <v>-477913</v>
      </c>
      <c r="T6" s="326">
        <v>-449738</v>
      </c>
      <c r="U6" s="326">
        <v>-244859</v>
      </c>
      <c r="V6" s="326">
        <v>-206871</v>
      </c>
      <c r="W6" s="326">
        <v>-2778124</v>
      </c>
      <c r="X6" s="326">
        <v>-1861520</v>
      </c>
      <c r="Y6" s="326">
        <v>-3569236</v>
      </c>
      <c r="Z6" s="326">
        <v>-2472175</v>
      </c>
      <c r="AA6" s="344">
        <v>-69103</v>
      </c>
      <c r="AB6" s="344">
        <v>-68104</v>
      </c>
      <c r="AC6" s="326">
        <v>-626534</v>
      </c>
      <c r="AD6" s="326">
        <v>-523268</v>
      </c>
      <c r="AE6" s="326">
        <v>-945825</v>
      </c>
      <c r="AF6" s="326">
        <v>-671608</v>
      </c>
      <c r="AG6" s="326">
        <v>-1461616</v>
      </c>
      <c r="AH6" s="326">
        <v>-1036901</v>
      </c>
      <c r="AI6" s="326">
        <v>-989044</v>
      </c>
      <c r="AJ6" s="326">
        <v>-750876</v>
      </c>
      <c r="AK6" s="326">
        <v>-103541</v>
      </c>
      <c r="AL6" s="326">
        <v>-106073</v>
      </c>
      <c r="AM6" s="347"/>
      <c r="AN6" s="347"/>
      <c r="AO6" s="348">
        <v>-2870396</v>
      </c>
      <c r="AP6" s="348">
        <v>-1713239</v>
      </c>
      <c r="AQ6" s="351">
        <v>-26731</v>
      </c>
      <c r="AR6" s="351">
        <v>-26318</v>
      </c>
      <c r="AS6" s="345">
        <v>-891846</v>
      </c>
      <c r="AT6" s="345">
        <v>-466449</v>
      </c>
      <c r="AU6" s="326">
        <v>-1472026</v>
      </c>
      <c r="AV6" s="326">
        <v>-886079</v>
      </c>
      <c r="AW6" s="589"/>
      <c r="AX6" s="345">
        <v>-1022864</v>
      </c>
    </row>
    <row r="7" spans="1:50" x14ac:dyDescent="0.3">
      <c r="A7" s="273" t="s">
        <v>185</v>
      </c>
      <c r="B7" s="333"/>
      <c r="C7" s="324"/>
      <c r="D7" s="580"/>
      <c r="E7" s="326"/>
      <c r="F7" s="326"/>
      <c r="G7" s="335"/>
      <c r="H7" s="326"/>
      <c r="I7" s="326"/>
      <c r="J7" s="326"/>
      <c r="K7" s="326"/>
      <c r="L7" s="326"/>
      <c r="M7" s="338"/>
      <c r="N7" s="338"/>
      <c r="O7" s="326"/>
      <c r="P7" s="326"/>
      <c r="Q7" s="341"/>
      <c r="R7" s="341"/>
      <c r="S7" s="326"/>
      <c r="T7" s="326"/>
      <c r="U7" s="326"/>
      <c r="V7" s="326"/>
      <c r="W7" s="326"/>
      <c r="X7" s="326"/>
      <c r="Y7" s="326"/>
      <c r="Z7" s="326"/>
      <c r="AA7" s="344"/>
      <c r="AB7" s="344"/>
      <c r="AC7" s="326"/>
      <c r="AD7" s="326"/>
      <c r="AE7" s="326"/>
      <c r="AF7" s="326"/>
      <c r="AG7" s="326"/>
      <c r="AH7" s="326"/>
      <c r="AI7" s="326"/>
      <c r="AJ7" s="326"/>
      <c r="AK7" s="326"/>
      <c r="AL7" s="326"/>
      <c r="AM7" s="347"/>
      <c r="AN7" s="347"/>
      <c r="AO7" s="312"/>
      <c r="AP7" s="312"/>
      <c r="AQ7" s="351"/>
      <c r="AR7" s="351"/>
      <c r="AS7" s="345"/>
      <c r="AT7" s="345"/>
      <c r="AU7" s="326"/>
      <c r="AV7" s="326"/>
      <c r="AW7" s="589"/>
      <c r="AX7" s="345"/>
    </row>
    <row r="8" spans="1:50" x14ac:dyDescent="0.3">
      <c r="A8" s="328" t="s">
        <v>186</v>
      </c>
      <c r="B8" s="333"/>
      <c r="C8" s="324">
        <f>SUM(C5:C7)</f>
        <v>38363973</v>
      </c>
      <c r="D8" s="324">
        <f>SUM(D5:D7)</f>
        <v>29627189</v>
      </c>
      <c r="E8" s="326"/>
      <c r="F8" s="326"/>
      <c r="G8" s="335">
        <f t="shared" ref="G8:L8" si="0">SUM(G5:G7)</f>
        <v>0</v>
      </c>
      <c r="H8" s="335">
        <f t="shared" si="0"/>
        <v>4636208</v>
      </c>
      <c r="I8" s="326">
        <f t="shared" si="0"/>
        <v>43308331</v>
      </c>
      <c r="J8" s="326">
        <f t="shared" si="0"/>
        <v>40380336</v>
      </c>
      <c r="K8" s="326">
        <f t="shared" si="0"/>
        <v>8972583</v>
      </c>
      <c r="L8" s="326">
        <f t="shared" si="0"/>
        <v>9414604</v>
      </c>
      <c r="M8" s="326">
        <f t="shared" ref="M8:AV8" si="1">SUM(M5:M7)</f>
        <v>21181057</v>
      </c>
      <c r="N8" s="326">
        <f t="shared" si="1"/>
        <v>17572660</v>
      </c>
      <c r="O8" s="326">
        <f t="shared" si="1"/>
        <v>4110826</v>
      </c>
      <c r="P8" s="326">
        <f t="shared" si="1"/>
        <v>5715215</v>
      </c>
      <c r="Q8" s="326">
        <f t="shared" si="1"/>
        <v>4311779</v>
      </c>
      <c r="R8" s="326">
        <f t="shared" si="1"/>
        <v>3732603</v>
      </c>
      <c r="S8" s="326">
        <f t="shared" si="1"/>
        <v>12709059</v>
      </c>
      <c r="T8" s="326">
        <f t="shared" si="1"/>
        <v>13160052</v>
      </c>
      <c r="U8" s="326">
        <f t="shared" si="1"/>
        <v>3983840</v>
      </c>
      <c r="V8" s="326">
        <f t="shared" si="1"/>
        <v>5673787</v>
      </c>
      <c r="W8" s="326">
        <f t="shared" si="1"/>
        <v>157672779</v>
      </c>
      <c r="X8" s="326">
        <f t="shared" si="1"/>
        <v>139048381</v>
      </c>
      <c r="Y8" s="326">
        <f t="shared" si="1"/>
        <v>141232546</v>
      </c>
      <c r="Z8" s="326">
        <f t="shared" si="1"/>
        <v>142728360</v>
      </c>
      <c r="AA8" s="326">
        <f t="shared" si="1"/>
        <v>7680024</v>
      </c>
      <c r="AB8" s="326">
        <f t="shared" si="1"/>
        <v>7946182</v>
      </c>
      <c r="AC8" s="326">
        <f t="shared" si="1"/>
        <v>16049027</v>
      </c>
      <c r="AD8" s="326">
        <f t="shared" si="1"/>
        <v>14098585</v>
      </c>
      <c r="AE8" s="326">
        <f t="shared" si="1"/>
        <v>35126854</v>
      </c>
      <c r="AF8" s="326">
        <f t="shared" si="1"/>
        <v>37635001</v>
      </c>
      <c r="AG8" s="326">
        <f t="shared" si="1"/>
        <v>71372694</v>
      </c>
      <c r="AH8" s="326">
        <f t="shared" si="1"/>
        <v>63283918</v>
      </c>
      <c r="AI8" s="326"/>
      <c r="AJ8" s="326">
        <f t="shared" si="1"/>
        <v>21380952</v>
      </c>
      <c r="AK8" s="326">
        <f t="shared" si="1"/>
        <v>18787451</v>
      </c>
      <c r="AL8" s="326">
        <f t="shared" si="1"/>
        <v>19129991</v>
      </c>
      <c r="AM8" s="326">
        <f t="shared" si="1"/>
        <v>0</v>
      </c>
      <c r="AN8" s="326">
        <f t="shared" si="1"/>
        <v>0</v>
      </c>
      <c r="AO8" s="326">
        <f t="shared" si="1"/>
        <v>204460484</v>
      </c>
      <c r="AP8" s="326">
        <f t="shared" si="1"/>
        <v>167665274</v>
      </c>
      <c r="AQ8" s="326">
        <f t="shared" si="1"/>
        <v>6629203</v>
      </c>
      <c r="AR8" s="326">
        <f t="shared" si="1"/>
        <v>6926617</v>
      </c>
      <c r="AS8" s="326">
        <f t="shared" si="1"/>
        <v>10339365</v>
      </c>
      <c r="AT8" s="326">
        <f t="shared" si="1"/>
        <v>8445808</v>
      </c>
      <c r="AU8" s="326">
        <f t="shared" si="1"/>
        <v>41218825</v>
      </c>
      <c r="AV8" s="326">
        <f t="shared" si="1"/>
        <v>30471863</v>
      </c>
      <c r="AW8" s="589">
        <f>SUM(AW5:AW7)</f>
        <v>0</v>
      </c>
      <c r="AX8" s="345">
        <f>SUM(AX5:AX7)</f>
        <v>1803785320</v>
      </c>
    </row>
    <row r="9" spans="1:50" ht="17.25" x14ac:dyDescent="0.35">
      <c r="A9" s="328" t="s">
        <v>187</v>
      </c>
      <c r="B9" s="333"/>
      <c r="C9" s="325"/>
      <c r="D9" s="581"/>
      <c r="E9" s="327"/>
      <c r="F9" s="327"/>
      <c r="G9" s="336"/>
      <c r="H9" s="327"/>
      <c r="I9" s="327"/>
      <c r="J9" s="327"/>
      <c r="K9" s="327"/>
      <c r="L9" s="327"/>
      <c r="M9" s="339"/>
      <c r="N9" s="339"/>
      <c r="O9" s="327"/>
      <c r="P9" s="327"/>
      <c r="Q9" s="342"/>
      <c r="R9" s="342"/>
      <c r="S9" s="327"/>
      <c r="T9" s="327"/>
      <c r="U9" s="327"/>
      <c r="V9" s="327"/>
      <c r="W9" s="327"/>
      <c r="X9" s="327"/>
      <c r="Y9" s="327"/>
      <c r="Z9" s="327"/>
      <c r="AA9" s="344"/>
      <c r="AB9" s="344"/>
      <c r="AC9" s="327"/>
      <c r="AD9" s="327"/>
      <c r="AE9" s="346"/>
      <c r="AF9" s="346"/>
      <c r="AG9" s="327"/>
      <c r="AH9" s="327"/>
      <c r="AI9" s="327"/>
      <c r="AJ9" s="327"/>
      <c r="AK9" s="327"/>
      <c r="AL9" s="327"/>
      <c r="AM9" s="347"/>
      <c r="AN9" s="347"/>
      <c r="AO9" s="312"/>
      <c r="AP9" s="312"/>
      <c r="AQ9" s="351"/>
      <c r="AR9" s="351"/>
      <c r="AS9" s="345"/>
      <c r="AT9" s="345"/>
      <c r="AU9" s="327"/>
      <c r="AV9" s="327"/>
      <c r="AW9" s="336"/>
      <c r="AX9" s="327"/>
    </row>
    <row r="10" spans="1:50" ht="17.25" x14ac:dyDescent="0.35">
      <c r="A10" s="273" t="s">
        <v>188</v>
      </c>
      <c r="B10" s="333"/>
      <c r="C10" s="324">
        <v>12444396</v>
      </c>
      <c r="D10" s="580">
        <v>11774967</v>
      </c>
      <c r="E10" s="326">
        <v>720477</v>
      </c>
      <c r="F10" s="326">
        <v>674651</v>
      </c>
      <c r="G10" s="335"/>
      <c r="H10" s="326">
        <v>2846094</v>
      </c>
      <c r="I10" s="326">
        <v>12950149</v>
      </c>
      <c r="J10" s="326">
        <v>12084457</v>
      </c>
      <c r="K10" s="326">
        <v>2448879</v>
      </c>
      <c r="L10" s="326">
        <v>2008099</v>
      </c>
      <c r="M10" s="338">
        <v>4112888</v>
      </c>
      <c r="N10" s="338">
        <v>3638118</v>
      </c>
      <c r="O10" s="326">
        <v>1530741</v>
      </c>
      <c r="P10" s="326">
        <v>1356588</v>
      </c>
      <c r="Q10" s="341">
        <v>960876</v>
      </c>
      <c r="R10" s="341">
        <v>732402</v>
      </c>
      <c r="S10" s="326">
        <v>4886434</v>
      </c>
      <c r="T10" s="326">
        <v>4594053</v>
      </c>
      <c r="U10" s="326">
        <v>1449726</v>
      </c>
      <c r="V10" s="326">
        <v>1312287</v>
      </c>
      <c r="W10" s="326">
        <v>37737492</v>
      </c>
      <c r="X10" s="326">
        <v>33365644</v>
      </c>
      <c r="Y10" s="326">
        <v>32519096</v>
      </c>
      <c r="Z10" s="326">
        <v>31122814</v>
      </c>
      <c r="AA10" s="326">
        <v>3072564</v>
      </c>
      <c r="AB10" s="326">
        <v>2736126</v>
      </c>
      <c r="AC10" s="326">
        <v>4328456</v>
      </c>
      <c r="AD10" s="326">
        <v>3981492</v>
      </c>
      <c r="AE10" s="326">
        <v>9999773</v>
      </c>
      <c r="AF10" s="326">
        <v>8545960</v>
      </c>
      <c r="AG10" s="326">
        <v>21406632</v>
      </c>
      <c r="AH10" s="326">
        <v>18654969</v>
      </c>
      <c r="AI10" s="326">
        <v>7206939</v>
      </c>
      <c r="AJ10" s="326">
        <v>6188339</v>
      </c>
      <c r="AK10" s="326">
        <v>6172237</v>
      </c>
      <c r="AL10" s="326">
        <v>5837585</v>
      </c>
      <c r="AM10" s="347"/>
      <c r="AN10" s="347"/>
      <c r="AO10" s="348">
        <v>47565585</v>
      </c>
      <c r="AP10" s="348">
        <v>41600996</v>
      </c>
      <c r="AQ10" s="351">
        <v>1557367</v>
      </c>
      <c r="AR10" s="351">
        <v>1296879</v>
      </c>
      <c r="AS10" s="345">
        <v>2866325</v>
      </c>
      <c r="AT10" s="345">
        <v>253820</v>
      </c>
      <c r="AU10" s="327">
        <v>7521540</v>
      </c>
      <c r="AV10" s="327">
        <v>7614520</v>
      </c>
      <c r="AW10" s="589"/>
      <c r="AX10" s="345">
        <v>1053171052</v>
      </c>
    </row>
    <row r="11" spans="1:50" x14ac:dyDescent="0.3">
      <c r="A11" s="273" t="s">
        <v>189</v>
      </c>
      <c r="B11" s="333"/>
      <c r="C11" s="324">
        <v>8900135</v>
      </c>
      <c r="D11" s="580">
        <v>6123069</v>
      </c>
      <c r="E11" s="326">
        <v>588850</v>
      </c>
      <c r="F11" s="326">
        <v>486742</v>
      </c>
      <c r="G11" s="335"/>
      <c r="H11" s="326">
        <v>1551103</v>
      </c>
      <c r="I11" s="326">
        <v>15001419</v>
      </c>
      <c r="J11" s="326">
        <v>11089035</v>
      </c>
      <c r="K11" s="326">
        <v>996338</v>
      </c>
      <c r="L11" s="326">
        <v>1140479</v>
      </c>
      <c r="M11" s="338">
        <v>3933169</v>
      </c>
      <c r="N11" s="338">
        <v>3670825</v>
      </c>
      <c r="O11" s="326">
        <v>660020</v>
      </c>
      <c r="P11" s="326">
        <v>638663</v>
      </c>
      <c r="Q11" s="341">
        <v>916539</v>
      </c>
      <c r="R11" s="341">
        <v>647881</v>
      </c>
      <c r="S11" s="326">
        <v>713191</v>
      </c>
      <c r="T11" s="326">
        <v>1599491</v>
      </c>
      <c r="U11" s="326">
        <v>821468</v>
      </c>
      <c r="V11" s="326">
        <v>241148</v>
      </c>
      <c r="W11" s="326">
        <v>30236076</v>
      </c>
      <c r="X11" s="326">
        <v>23599804</v>
      </c>
      <c r="Y11" s="326">
        <v>52155625</v>
      </c>
      <c r="Z11" s="326">
        <v>37798449</v>
      </c>
      <c r="AA11" s="326">
        <v>712826</v>
      </c>
      <c r="AB11" s="326">
        <v>1137180</v>
      </c>
      <c r="AC11" s="326">
        <v>2404898</v>
      </c>
      <c r="AD11" s="326">
        <v>1415054</v>
      </c>
      <c r="AE11" s="326">
        <v>6461662</v>
      </c>
      <c r="AF11" s="326">
        <v>6063981</v>
      </c>
      <c r="AG11" s="326">
        <v>15881159</v>
      </c>
      <c r="AH11" s="326">
        <v>11181002</v>
      </c>
      <c r="AI11" s="326">
        <v>2584771</v>
      </c>
      <c r="AJ11" s="326">
        <v>3024387</v>
      </c>
      <c r="AK11" s="326">
        <v>2435853</v>
      </c>
      <c r="AL11" s="326">
        <v>4394919</v>
      </c>
      <c r="AM11" s="347"/>
      <c r="AN11" s="347"/>
      <c r="AO11" s="348">
        <v>31998018</v>
      </c>
      <c r="AP11" s="348">
        <v>24321513</v>
      </c>
      <c r="AQ11" s="351">
        <v>682397</v>
      </c>
      <c r="AR11" s="351">
        <v>195195</v>
      </c>
      <c r="AS11" s="345">
        <v>2077222</v>
      </c>
      <c r="AT11" s="345">
        <v>2213766</v>
      </c>
      <c r="AU11" s="326">
        <v>7639799</v>
      </c>
      <c r="AV11" s="326">
        <v>6656655</v>
      </c>
      <c r="AW11" s="589"/>
      <c r="AX11" s="345">
        <v>140690348</v>
      </c>
    </row>
    <row r="12" spans="1:50" ht="17.25" x14ac:dyDescent="0.35">
      <c r="A12" s="273" t="s">
        <v>190</v>
      </c>
      <c r="B12" s="333"/>
      <c r="C12" s="324">
        <v>-5197325</v>
      </c>
      <c r="D12" s="580">
        <v>-2403414</v>
      </c>
      <c r="E12" s="326">
        <v>-368511</v>
      </c>
      <c r="F12" s="326">
        <v>-245255</v>
      </c>
      <c r="G12" s="335"/>
      <c r="H12" s="326">
        <v>-879512</v>
      </c>
      <c r="I12" s="326">
        <v>-9907092</v>
      </c>
      <c r="J12" s="326">
        <v>-4111256</v>
      </c>
      <c r="K12" s="326">
        <v>-402130</v>
      </c>
      <c r="L12" s="326">
        <v>-254438</v>
      </c>
      <c r="M12" s="338">
        <v>-5132038</v>
      </c>
      <c r="N12" s="338">
        <v>-2549114</v>
      </c>
      <c r="O12" s="326">
        <v>-59529</v>
      </c>
      <c r="P12" s="326">
        <v>-43516</v>
      </c>
      <c r="Q12" s="341">
        <v>-560489</v>
      </c>
      <c r="R12" s="341">
        <v>-327840</v>
      </c>
      <c r="S12" s="326">
        <v>-6906</v>
      </c>
      <c r="T12" s="326">
        <v>-364812</v>
      </c>
      <c r="U12" s="326">
        <v>-252646</v>
      </c>
      <c r="V12" s="326">
        <v>-84165</v>
      </c>
      <c r="W12" s="326">
        <v>-15087674</v>
      </c>
      <c r="X12" s="326">
        <v>-6525748</v>
      </c>
      <c r="Y12" s="326">
        <v>-47420761</v>
      </c>
      <c r="Z12" s="326">
        <v>-21851077</v>
      </c>
      <c r="AA12" s="326">
        <v>-1667744</v>
      </c>
      <c r="AB12" s="326">
        <v>-1185452</v>
      </c>
      <c r="AC12" s="326">
        <v>-1686449</v>
      </c>
      <c r="AD12" s="326">
        <v>-741064</v>
      </c>
      <c r="AE12" s="346">
        <v>-3360013</v>
      </c>
      <c r="AF12" s="326">
        <v>-2189148</v>
      </c>
      <c r="AG12" s="326">
        <v>-9933158</v>
      </c>
      <c r="AH12" s="326">
        <v>-3691472</v>
      </c>
      <c r="AI12" s="326">
        <v>-1408145</v>
      </c>
      <c r="AJ12" s="326">
        <v>-947335</v>
      </c>
      <c r="AK12" s="326">
        <v>-1588670</v>
      </c>
      <c r="AL12" s="326">
        <v>-1475413</v>
      </c>
      <c r="AM12" s="347"/>
      <c r="AN12" s="347"/>
      <c r="AO12" s="348">
        <v>-15964679</v>
      </c>
      <c r="AP12" s="348">
        <v>-9440688</v>
      </c>
      <c r="AQ12" s="351">
        <v>-327640</v>
      </c>
      <c r="AR12" s="351">
        <v>-373463</v>
      </c>
      <c r="AS12" s="345">
        <v>-1126508</v>
      </c>
      <c r="AT12" s="345">
        <v>-455188</v>
      </c>
      <c r="AU12" s="326">
        <v>-2545686</v>
      </c>
      <c r="AV12" s="326">
        <v>-2199919</v>
      </c>
      <c r="AW12" s="589"/>
      <c r="AX12" s="345">
        <v>-92170442</v>
      </c>
    </row>
    <row r="13" spans="1:50" ht="17.25" x14ac:dyDescent="0.35">
      <c r="A13" s="273" t="s">
        <v>191</v>
      </c>
      <c r="B13" s="333"/>
      <c r="C13" s="324"/>
      <c r="D13" s="580">
        <v>-2365609</v>
      </c>
      <c r="E13" s="326">
        <v>1238746</v>
      </c>
      <c r="F13" s="326">
        <v>-335067</v>
      </c>
      <c r="G13" s="335"/>
      <c r="H13" s="326">
        <v>-1690814</v>
      </c>
      <c r="I13" s="326">
        <v>36743862</v>
      </c>
      <c r="J13" s="326">
        <v>-8388419</v>
      </c>
      <c r="K13" s="326">
        <v>1782474</v>
      </c>
      <c r="L13" s="326">
        <v>-374759</v>
      </c>
      <c r="M13" s="338">
        <v>15128492</v>
      </c>
      <c r="N13" s="338">
        <v>-1409108</v>
      </c>
      <c r="O13" s="326">
        <v>405515</v>
      </c>
      <c r="P13" s="326">
        <v>-75964</v>
      </c>
      <c r="Q13" s="341">
        <v>1600313</v>
      </c>
      <c r="R13" s="341">
        <v>-116483</v>
      </c>
      <c r="S13" s="326">
        <v>2144410</v>
      </c>
      <c r="T13" s="326">
        <v>-586025</v>
      </c>
      <c r="U13" s="326">
        <v>424042</v>
      </c>
      <c r="V13" s="326">
        <v>-173338</v>
      </c>
      <c r="W13" s="326">
        <v>97793212</v>
      </c>
      <c r="X13" s="326">
        <v>-18744467</v>
      </c>
      <c r="Y13" s="326">
        <v>169867725</v>
      </c>
      <c r="Z13" s="326">
        <v>-32365129</v>
      </c>
      <c r="AA13" s="326">
        <v>4383758</v>
      </c>
      <c r="AB13" s="326">
        <v>-633150</v>
      </c>
      <c r="AC13" s="326">
        <v>5794902</v>
      </c>
      <c r="AD13" s="326">
        <v>-308702</v>
      </c>
      <c r="AE13" s="346">
        <v>17584120</v>
      </c>
      <c r="AF13" s="326">
        <v>-674101</v>
      </c>
      <c r="AG13" s="326">
        <v>24922179</v>
      </c>
      <c r="AH13" s="326">
        <v>4611071</v>
      </c>
      <c r="AI13" s="326">
        <v>7786507</v>
      </c>
      <c r="AJ13" s="326">
        <v>-2254754</v>
      </c>
      <c r="AK13" s="326">
        <v>6773863</v>
      </c>
      <c r="AL13" s="326">
        <v>-2137952</v>
      </c>
      <c r="AM13" s="347"/>
      <c r="AN13" s="347"/>
      <c r="AO13" s="348">
        <v>78132750</v>
      </c>
      <c r="AP13" s="348">
        <v>-2785629</v>
      </c>
      <c r="AQ13" s="351"/>
      <c r="AR13" s="351"/>
      <c r="AS13" s="345"/>
      <c r="AT13" s="345"/>
      <c r="AU13" s="326">
        <v>23635918</v>
      </c>
      <c r="AV13" s="326">
        <v>-747802</v>
      </c>
      <c r="AW13" s="589"/>
      <c r="AX13" s="345">
        <v>5369841</v>
      </c>
    </row>
    <row r="14" spans="1:50" ht="17.25" x14ac:dyDescent="0.35">
      <c r="A14" s="273" t="s">
        <v>192</v>
      </c>
      <c r="B14" s="333"/>
      <c r="C14" s="325">
        <v>22826868</v>
      </c>
      <c r="D14" s="581"/>
      <c r="E14" s="327">
        <v>95994</v>
      </c>
      <c r="F14" s="327">
        <v>71653</v>
      </c>
      <c r="G14" s="336"/>
      <c r="H14" s="327"/>
      <c r="I14" s="327">
        <v>475997</v>
      </c>
      <c r="J14" s="327">
        <v>1561376</v>
      </c>
      <c r="K14" s="327"/>
      <c r="L14" s="327"/>
      <c r="M14" s="339"/>
      <c r="N14" s="339"/>
      <c r="O14" s="327">
        <v>-47196</v>
      </c>
      <c r="P14" s="327">
        <v>-27876</v>
      </c>
      <c r="Q14" s="342"/>
      <c r="R14" s="342"/>
      <c r="S14" s="327"/>
      <c r="T14" s="327"/>
      <c r="U14" s="327"/>
      <c r="V14" s="327"/>
      <c r="W14" s="327"/>
      <c r="X14" s="327">
        <v>-30236</v>
      </c>
      <c r="Y14" s="327">
        <v>3043864</v>
      </c>
      <c r="Z14" s="327">
        <v>3941434</v>
      </c>
      <c r="AA14" s="344">
        <v>72877</v>
      </c>
      <c r="AB14" s="344">
        <v>171026</v>
      </c>
      <c r="AC14" s="327">
        <v>-31880</v>
      </c>
      <c r="AD14" s="327">
        <v>438904</v>
      </c>
      <c r="AE14" s="346"/>
      <c r="AF14" s="346"/>
      <c r="AG14" s="327"/>
      <c r="AH14" s="327">
        <v>355032</v>
      </c>
      <c r="AI14" s="327">
        <v>88752</v>
      </c>
      <c r="AJ14" s="327">
        <v>322934</v>
      </c>
      <c r="AK14" s="327">
        <v>219011</v>
      </c>
      <c r="AL14" s="327">
        <v>492778</v>
      </c>
      <c r="AM14" s="347"/>
      <c r="AN14" s="347"/>
      <c r="AO14" s="348"/>
      <c r="AP14" s="348">
        <v>2311041</v>
      </c>
      <c r="AQ14" s="351">
        <v>-33547</v>
      </c>
      <c r="AR14" s="351">
        <v>5563</v>
      </c>
      <c r="AS14" s="345"/>
      <c r="AT14" s="345"/>
      <c r="AU14" s="327">
        <v>909637</v>
      </c>
      <c r="AV14" s="327"/>
      <c r="AW14" s="336"/>
      <c r="AX14" s="327"/>
    </row>
    <row r="15" spans="1:50" ht="17.25" x14ac:dyDescent="0.35">
      <c r="A15" s="273" t="s">
        <v>251</v>
      </c>
      <c r="B15" s="333"/>
      <c r="C15" s="325"/>
      <c r="D15" s="581"/>
      <c r="E15" s="327"/>
      <c r="F15" s="327"/>
      <c r="G15" s="336"/>
      <c r="H15" s="327"/>
      <c r="I15" s="327"/>
      <c r="J15" s="327"/>
      <c r="K15" s="327"/>
      <c r="L15" s="327"/>
      <c r="M15" s="339"/>
      <c r="N15" s="339"/>
      <c r="O15" s="327"/>
      <c r="P15" s="327"/>
      <c r="Q15" s="342"/>
      <c r="R15" s="342"/>
      <c r="S15" s="327"/>
      <c r="T15" s="327"/>
      <c r="U15" s="327"/>
      <c r="V15" s="327"/>
      <c r="W15" s="327"/>
      <c r="X15" s="327"/>
      <c r="Y15" s="327"/>
      <c r="Z15" s="327"/>
      <c r="AA15" s="344"/>
      <c r="AB15" s="344"/>
      <c r="AC15" s="327"/>
      <c r="AD15" s="327"/>
      <c r="AE15" s="346"/>
      <c r="AF15" s="346"/>
      <c r="AG15" s="327"/>
      <c r="AH15" s="327"/>
      <c r="AI15" s="327"/>
      <c r="AJ15" s="327"/>
      <c r="AK15" s="327"/>
      <c r="AL15" s="327"/>
      <c r="AM15" s="347"/>
      <c r="AN15" s="347"/>
      <c r="AO15" s="348"/>
      <c r="AP15" s="348"/>
      <c r="AQ15" s="351">
        <v>632663</v>
      </c>
      <c r="AR15" s="351">
        <v>56117</v>
      </c>
      <c r="AS15" s="345">
        <v>3223263</v>
      </c>
      <c r="AT15" s="345">
        <v>-1204872</v>
      </c>
      <c r="AU15" s="327"/>
      <c r="AV15" s="327"/>
      <c r="AW15" s="336"/>
      <c r="AX15" s="327"/>
    </row>
    <row r="16" spans="1:50" x14ac:dyDescent="0.3">
      <c r="A16" s="328" t="s">
        <v>193</v>
      </c>
      <c r="B16" s="333"/>
      <c r="C16" s="324"/>
      <c r="D16" s="580"/>
      <c r="E16" s="326"/>
      <c r="F16" s="326"/>
      <c r="G16" s="335"/>
      <c r="H16" s="326"/>
      <c r="I16" s="326"/>
      <c r="J16" s="326"/>
      <c r="K16" s="326"/>
      <c r="L16" s="326"/>
      <c r="M16" s="338"/>
      <c r="N16" s="338"/>
      <c r="O16" s="326"/>
      <c r="P16" s="326"/>
      <c r="Q16" s="341"/>
      <c r="R16" s="341"/>
      <c r="S16" s="326"/>
      <c r="T16" s="326"/>
      <c r="U16" s="326"/>
      <c r="V16" s="326"/>
      <c r="W16" s="326"/>
      <c r="X16" s="326"/>
      <c r="Y16" s="326"/>
      <c r="Z16" s="326"/>
      <c r="AA16" s="344"/>
      <c r="AB16" s="344"/>
      <c r="AC16" s="326"/>
      <c r="AD16" s="326"/>
      <c r="AE16" s="326"/>
      <c r="AF16" s="326"/>
      <c r="AG16" s="326"/>
      <c r="AH16" s="326"/>
      <c r="AI16" s="326"/>
      <c r="AJ16" s="326"/>
      <c r="AK16" s="326"/>
      <c r="AL16" s="326"/>
      <c r="AM16" s="347"/>
      <c r="AN16" s="347"/>
      <c r="AO16" s="312"/>
      <c r="AP16" s="312"/>
      <c r="AQ16" s="351"/>
      <c r="AR16" s="351"/>
      <c r="AS16" s="345"/>
      <c r="AT16" s="345"/>
      <c r="AU16" s="326"/>
      <c r="AV16" s="326"/>
      <c r="AW16" s="335"/>
      <c r="AX16" s="326"/>
    </row>
    <row r="17" spans="1:50" x14ac:dyDescent="0.3">
      <c r="A17" s="273" t="s">
        <v>194</v>
      </c>
      <c r="B17" s="333"/>
      <c r="C17" s="324">
        <v>1268044</v>
      </c>
      <c r="D17" s="580">
        <v>1205242</v>
      </c>
      <c r="E17" s="326">
        <v>478200</v>
      </c>
      <c r="F17" s="326">
        <v>433204</v>
      </c>
      <c r="G17" s="335"/>
      <c r="H17" s="326">
        <v>113285</v>
      </c>
      <c r="I17" s="326">
        <v>2942635</v>
      </c>
      <c r="J17" s="326">
        <v>589503</v>
      </c>
      <c r="K17" s="326"/>
      <c r="L17" s="326"/>
      <c r="M17" s="338">
        <v>1382335</v>
      </c>
      <c r="N17" s="338">
        <v>4409</v>
      </c>
      <c r="O17" s="326">
        <v>123454</v>
      </c>
      <c r="P17" s="326">
        <v>253402</v>
      </c>
      <c r="Q17" s="341">
        <v>1450979</v>
      </c>
      <c r="R17" s="341">
        <v>1419691</v>
      </c>
      <c r="S17" s="326">
        <v>813992</v>
      </c>
      <c r="T17" s="326">
        <v>1083809</v>
      </c>
      <c r="U17" s="326">
        <v>291228</v>
      </c>
      <c r="V17" s="326">
        <v>513300</v>
      </c>
      <c r="W17" s="326">
        <v>73996</v>
      </c>
      <c r="X17" s="326">
        <v>211300</v>
      </c>
      <c r="Y17" s="326">
        <v>7057841</v>
      </c>
      <c r="Z17" s="326">
        <v>4679883</v>
      </c>
      <c r="AA17" s="344"/>
      <c r="AB17" s="344"/>
      <c r="AC17" s="326">
        <v>863177</v>
      </c>
      <c r="AD17" s="326">
        <v>646328</v>
      </c>
      <c r="AE17" s="326"/>
      <c r="AF17" s="326">
        <v>57198</v>
      </c>
      <c r="AG17" s="326"/>
      <c r="AH17" s="326">
        <v>292752</v>
      </c>
      <c r="AI17" s="326">
        <v>498988</v>
      </c>
      <c r="AJ17" s="326">
        <v>247502</v>
      </c>
      <c r="AK17" s="326">
        <v>413898</v>
      </c>
      <c r="AL17" s="326">
        <v>277992</v>
      </c>
      <c r="AM17" s="347"/>
      <c r="AN17" s="347"/>
      <c r="AO17" s="312"/>
      <c r="AP17" s="312"/>
      <c r="AQ17" s="351">
        <v>7492</v>
      </c>
      <c r="AR17" s="351">
        <v>503</v>
      </c>
      <c r="AS17" s="345"/>
      <c r="AT17" s="345"/>
      <c r="AU17" s="326">
        <v>1590647</v>
      </c>
      <c r="AV17" s="326">
        <v>1440819</v>
      </c>
      <c r="AW17" s="335"/>
      <c r="AX17" s="326"/>
    </row>
    <row r="18" spans="1:50" x14ac:dyDescent="0.3">
      <c r="A18" s="273" t="s">
        <v>195</v>
      </c>
      <c r="B18" s="333"/>
      <c r="C18" s="324"/>
      <c r="D18" s="580"/>
      <c r="E18" s="326"/>
      <c r="F18" s="326"/>
      <c r="G18" s="335"/>
      <c r="H18" s="326"/>
      <c r="I18" s="326">
        <v>99773</v>
      </c>
      <c r="J18" s="326">
        <v>107167</v>
      </c>
      <c r="K18" s="326">
        <v>12060</v>
      </c>
      <c r="L18" s="326"/>
      <c r="M18" s="338"/>
      <c r="N18" s="338"/>
      <c r="O18" s="326"/>
      <c r="P18" s="326"/>
      <c r="Q18" s="341">
        <v>550</v>
      </c>
      <c r="R18" s="341">
        <v>724</v>
      </c>
      <c r="S18" s="326"/>
      <c r="T18" s="326"/>
      <c r="U18" s="326"/>
      <c r="V18" s="326"/>
      <c r="W18" s="326">
        <v>147017</v>
      </c>
      <c r="X18" s="326">
        <v>189624</v>
      </c>
      <c r="Y18" s="326">
        <v>246165</v>
      </c>
      <c r="Z18" s="326">
        <v>183375</v>
      </c>
      <c r="AA18" s="344"/>
      <c r="AB18" s="344"/>
      <c r="AC18" s="326"/>
      <c r="AD18" s="326"/>
      <c r="AE18" s="326">
        <v>7417</v>
      </c>
      <c r="AF18" s="326">
        <v>8218</v>
      </c>
      <c r="AG18" s="326"/>
      <c r="AH18" s="326"/>
      <c r="AI18" s="326"/>
      <c r="AJ18" s="326"/>
      <c r="AK18" s="326"/>
      <c r="AL18" s="326"/>
      <c r="AM18" s="347"/>
      <c r="AN18" s="347"/>
      <c r="AO18" s="348">
        <v>67147</v>
      </c>
      <c r="AP18" s="348">
        <v>98628</v>
      </c>
      <c r="AQ18" s="351"/>
      <c r="AR18" s="351"/>
      <c r="AS18" s="345"/>
      <c r="AT18" s="345"/>
      <c r="AU18" s="326"/>
      <c r="AV18" s="326"/>
      <c r="AW18" s="335"/>
      <c r="AX18" s="326"/>
    </row>
    <row r="19" spans="1:50" x14ac:dyDescent="0.3">
      <c r="A19" s="273" t="s">
        <v>196</v>
      </c>
      <c r="B19" s="333"/>
      <c r="C19" s="324">
        <v>242577</v>
      </c>
      <c r="D19" s="580">
        <v>241748</v>
      </c>
      <c r="E19" s="326">
        <f>1005</f>
        <v>1005</v>
      </c>
      <c r="F19" s="326">
        <v>429</v>
      </c>
      <c r="G19" s="335"/>
      <c r="H19" s="326">
        <f>18632+7284</f>
        <v>25916</v>
      </c>
      <c r="I19" s="326">
        <v>201698</v>
      </c>
      <c r="J19" s="326">
        <v>246685</v>
      </c>
      <c r="K19" s="326">
        <v>26012</v>
      </c>
      <c r="L19" s="326">
        <f>9255+4138</f>
        <v>13393</v>
      </c>
      <c r="M19" s="338">
        <v>12547</v>
      </c>
      <c r="N19" s="338">
        <v>41621</v>
      </c>
      <c r="O19" s="326">
        <f>17781+16406</f>
        <v>34187</v>
      </c>
      <c r="P19" s="326">
        <v>8390</v>
      </c>
      <c r="Q19" s="341">
        <v>17543</v>
      </c>
      <c r="R19" s="341">
        <v>6625</v>
      </c>
      <c r="S19" s="326">
        <v>33085</v>
      </c>
      <c r="T19" s="326">
        <v>29395</v>
      </c>
      <c r="U19" s="326">
        <f>14862-3502</f>
        <v>11360</v>
      </c>
      <c r="V19" s="326">
        <f>11638-274</f>
        <v>11364</v>
      </c>
      <c r="W19" s="326">
        <v>664052</v>
      </c>
      <c r="X19" s="326">
        <v>617090</v>
      </c>
      <c r="Y19" s="326">
        <f>221821+3896</f>
        <v>225717</v>
      </c>
      <c r="Z19" s="326">
        <f>166292+7203</f>
        <v>173495</v>
      </c>
      <c r="AA19" s="344">
        <v>84</v>
      </c>
      <c r="AB19" s="344">
        <v>1135</v>
      </c>
      <c r="AC19" s="326">
        <v>19097</v>
      </c>
      <c r="AD19" s="326">
        <v>10110</v>
      </c>
      <c r="AE19" s="326">
        <f>44412-6234</f>
        <v>38178</v>
      </c>
      <c r="AF19" s="326">
        <f>3866+2778</f>
        <v>6644</v>
      </c>
      <c r="AG19" s="326">
        <v>223566</v>
      </c>
      <c r="AH19" s="326">
        <v>221172</v>
      </c>
      <c r="AI19" s="326">
        <f>32584+55534-43</f>
        <v>88075</v>
      </c>
      <c r="AJ19" s="326">
        <f>28274+92198-5854</f>
        <v>114618</v>
      </c>
      <c r="AK19" s="326">
        <v>32973</v>
      </c>
      <c r="AL19" s="326">
        <v>51172</v>
      </c>
      <c r="AM19" s="347"/>
      <c r="AN19" s="347"/>
      <c r="AO19" s="348">
        <v>103742</v>
      </c>
      <c r="AP19" s="348">
        <v>117767</v>
      </c>
      <c r="AQ19" s="351">
        <f>22555+6013+46502</f>
        <v>75070</v>
      </c>
      <c r="AR19" s="351">
        <v>36735</v>
      </c>
      <c r="AS19" s="345">
        <v>12713</v>
      </c>
      <c r="AT19" s="345">
        <v>15642</v>
      </c>
      <c r="AU19" s="326">
        <f>162223+26004+188204-1404+474</f>
        <v>375501</v>
      </c>
      <c r="AV19" s="326">
        <f>19237+167111+121+1383+185876</f>
        <v>373728</v>
      </c>
      <c r="AW19" s="335"/>
      <c r="AX19" s="326">
        <f>-12068+11009685</f>
        <v>10997617</v>
      </c>
    </row>
    <row r="20" spans="1:50" s="656" customFormat="1" ht="18" x14ac:dyDescent="0.35">
      <c r="A20" s="644" t="s">
        <v>20</v>
      </c>
      <c r="B20" s="645"/>
      <c r="C20" s="646">
        <v>78848668</v>
      </c>
      <c r="D20" s="647">
        <v>44203192</v>
      </c>
      <c r="E20" s="648">
        <v>4723930</v>
      </c>
      <c r="F20" s="648">
        <v>3183255</v>
      </c>
      <c r="G20" s="649"/>
      <c r="H20" s="648">
        <v>6602280</v>
      </c>
      <c r="I20" s="648">
        <v>101814772</v>
      </c>
      <c r="J20" s="648">
        <v>53558884</v>
      </c>
      <c r="K20" s="648">
        <v>13836216</v>
      </c>
      <c r="L20" s="648">
        <v>11947378</v>
      </c>
      <c r="M20" s="650">
        <v>40618450</v>
      </c>
      <c r="N20" s="650">
        <v>21014411</v>
      </c>
      <c r="O20" s="648">
        <v>6758018</v>
      </c>
      <c r="P20" s="648">
        <v>7972950</v>
      </c>
      <c r="Q20" s="651">
        <v>8698090</v>
      </c>
      <c r="R20" s="651">
        <v>6095603</v>
      </c>
      <c r="S20" s="648">
        <v>21293264</v>
      </c>
      <c r="T20" s="648">
        <v>19515964</v>
      </c>
      <c r="U20" s="648">
        <v>6729018</v>
      </c>
      <c r="V20" s="648">
        <v>7494383</v>
      </c>
      <c r="W20" s="648">
        <v>309236950</v>
      </c>
      <c r="X20" s="648" t="s">
        <v>283</v>
      </c>
      <c r="Y20" s="648">
        <v>358927820</v>
      </c>
      <c r="Z20" s="648">
        <v>166411604</v>
      </c>
      <c r="AA20" s="669">
        <v>14254389</v>
      </c>
      <c r="AB20" s="669">
        <v>10173047</v>
      </c>
      <c r="AC20" s="648">
        <v>27741229</v>
      </c>
      <c r="AD20" s="648">
        <v>19540707</v>
      </c>
      <c r="AE20" s="648">
        <v>65857991</v>
      </c>
      <c r="AF20" s="648">
        <v>49453681</v>
      </c>
      <c r="AG20" s="648">
        <v>123872072</v>
      </c>
      <c r="AH20" s="648">
        <v>85686302</v>
      </c>
      <c r="AI20" s="648">
        <v>38076828</v>
      </c>
      <c r="AJ20" s="648">
        <v>28076643</v>
      </c>
      <c r="AK20" s="648">
        <v>33246616</v>
      </c>
      <c r="AL20" s="648">
        <v>26571072</v>
      </c>
      <c r="AM20" s="653"/>
      <c r="AN20" s="653"/>
      <c r="AO20" s="654">
        <v>346363048</v>
      </c>
      <c r="AP20" s="654">
        <v>56223627</v>
      </c>
      <c r="AQ20" s="655">
        <v>9223005</v>
      </c>
      <c r="AR20" s="655">
        <v>8144146</v>
      </c>
      <c r="AS20" s="652">
        <v>17392380</v>
      </c>
      <c r="AT20" s="652">
        <v>11668976</v>
      </c>
      <c r="AU20" s="648">
        <v>80346181</v>
      </c>
      <c r="AV20" s="648">
        <v>43609864</v>
      </c>
      <c r="AW20" s="670"/>
      <c r="AX20" s="671">
        <v>2970172836</v>
      </c>
    </row>
    <row r="21" spans="1:50" x14ac:dyDescent="0.3">
      <c r="A21" s="273" t="s">
        <v>60</v>
      </c>
      <c r="B21" s="328" t="s">
        <v>197</v>
      </c>
      <c r="C21" s="324">
        <v>2094177</v>
      </c>
      <c r="D21" s="580">
        <v>1846515</v>
      </c>
      <c r="E21" s="326">
        <v>24997</v>
      </c>
      <c r="F21" s="326">
        <v>18375</v>
      </c>
      <c r="G21" s="335"/>
      <c r="H21" s="326">
        <v>89694</v>
      </c>
      <c r="I21" s="326">
        <v>2068641</v>
      </c>
      <c r="J21" s="326">
        <v>1440286</v>
      </c>
      <c r="K21" s="326">
        <v>752969</v>
      </c>
      <c r="L21" s="326">
        <v>816857</v>
      </c>
      <c r="M21" s="338">
        <v>974800</v>
      </c>
      <c r="N21" s="338">
        <v>954177</v>
      </c>
      <c r="O21" s="326">
        <v>129694</v>
      </c>
      <c r="P21" s="326">
        <v>200320</v>
      </c>
      <c r="Q21" s="341">
        <v>377081</v>
      </c>
      <c r="R21" s="341">
        <v>294001</v>
      </c>
      <c r="S21" s="326">
        <v>865451</v>
      </c>
      <c r="T21" s="326">
        <v>872334</v>
      </c>
      <c r="U21" s="326">
        <v>136321</v>
      </c>
      <c r="V21" s="326">
        <v>211379</v>
      </c>
      <c r="W21" s="326">
        <v>6646726</v>
      </c>
      <c r="X21" s="326">
        <v>5263796</v>
      </c>
      <c r="Y21" s="326">
        <v>5565799</v>
      </c>
      <c r="Z21" s="326">
        <v>6593487</v>
      </c>
      <c r="AA21" s="344">
        <v>228472</v>
      </c>
      <c r="AB21" s="344">
        <v>362850</v>
      </c>
      <c r="AC21" s="326">
        <v>579943</v>
      </c>
      <c r="AD21" s="326">
        <v>578834</v>
      </c>
      <c r="AE21" s="326">
        <v>1636733</v>
      </c>
      <c r="AF21" s="326">
        <v>1809170</v>
      </c>
      <c r="AG21" s="326">
        <v>4500134</v>
      </c>
      <c r="AH21" s="326">
        <v>4096393</v>
      </c>
      <c r="AI21" s="326">
        <v>1120890</v>
      </c>
      <c r="AJ21" s="326">
        <v>1152370</v>
      </c>
      <c r="AK21" s="326">
        <v>619412</v>
      </c>
      <c r="AL21" s="326">
        <v>801820</v>
      </c>
      <c r="AM21" s="347"/>
      <c r="AN21" s="347"/>
      <c r="AO21" s="348">
        <v>6567139</v>
      </c>
      <c r="AP21" s="348">
        <v>6576049</v>
      </c>
      <c r="AQ21" s="351">
        <v>430672</v>
      </c>
      <c r="AR21" s="351">
        <v>447085</v>
      </c>
      <c r="AS21" s="345">
        <v>750532</v>
      </c>
      <c r="AT21" s="345">
        <v>663079</v>
      </c>
      <c r="AU21" s="326">
        <v>4105937</v>
      </c>
      <c r="AV21" s="326">
        <v>3135030</v>
      </c>
      <c r="AW21" s="589"/>
      <c r="AX21" s="345">
        <v>86136009</v>
      </c>
    </row>
    <row r="22" spans="1:50" x14ac:dyDescent="0.3">
      <c r="A22" s="273" t="s">
        <v>198</v>
      </c>
      <c r="B22" s="328" t="s">
        <v>199</v>
      </c>
      <c r="C22" s="324">
        <v>5649710</v>
      </c>
      <c r="D22" s="580">
        <v>6167315</v>
      </c>
      <c r="E22" s="326">
        <v>1032116</v>
      </c>
      <c r="F22" s="326">
        <v>1102994</v>
      </c>
      <c r="G22" s="335"/>
      <c r="H22" s="326">
        <v>1462511</v>
      </c>
      <c r="I22" s="326">
        <v>7693043</v>
      </c>
      <c r="J22" s="326">
        <v>8929127</v>
      </c>
      <c r="K22" s="326">
        <v>2875951</v>
      </c>
      <c r="L22" s="326">
        <v>3860033</v>
      </c>
      <c r="M22" s="338">
        <v>2733115</v>
      </c>
      <c r="N22" s="338">
        <v>2350198</v>
      </c>
      <c r="O22" s="326">
        <v>1226273</v>
      </c>
      <c r="P22" s="326">
        <v>1672134</v>
      </c>
      <c r="Q22" s="341">
        <v>2584182</v>
      </c>
      <c r="R22" s="341">
        <v>2558599</v>
      </c>
      <c r="S22" s="326">
        <v>2934697</v>
      </c>
      <c r="T22" s="326">
        <v>3931346</v>
      </c>
      <c r="U22" s="326">
        <v>2407100</v>
      </c>
      <c r="V22" s="326">
        <v>3010405</v>
      </c>
      <c r="W22" s="326">
        <v>17685702</v>
      </c>
      <c r="X22" s="326">
        <v>19763244</v>
      </c>
      <c r="Y22" s="326">
        <v>11338854</v>
      </c>
      <c r="Z22" s="326">
        <v>13999926</v>
      </c>
      <c r="AA22" s="344">
        <v>996480</v>
      </c>
      <c r="AB22" s="344">
        <v>1213828</v>
      </c>
      <c r="AC22" s="326">
        <v>2344292</v>
      </c>
      <c r="AD22" s="326">
        <v>2083336</v>
      </c>
      <c r="AE22" s="326">
        <v>6449329</v>
      </c>
      <c r="AF22" s="326">
        <v>7168822</v>
      </c>
      <c r="AG22" s="326">
        <v>11232445</v>
      </c>
      <c r="AH22" s="326">
        <v>10707790</v>
      </c>
      <c r="AI22" s="326">
        <v>4468227</v>
      </c>
      <c r="AJ22" s="326">
        <v>4496642</v>
      </c>
      <c r="AK22" s="326">
        <v>5071804</v>
      </c>
      <c r="AL22" s="326">
        <v>5372518</v>
      </c>
      <c r="AM22" s="347"/>
      <c r="AN22" s="347"/>
      <c r="AO22" s="348">
        <v>11258007</v>
      </c>
      <c r="AP22" s="348">
        <v>11034162</v>
      </c>
      <c r="AQ22" s="351">
        <v>2191554</v>
      </c>
      <c r="AR22" s="351">
        <v>2244715</v>
      </c>
      <c r="AS22" s="345">
        <v>1768663</v>
      </c>
      <c r="AT22" s="345">
        <v>1730529</v>
      </c>
      <c r="AU22" s="326">
        <v>7704422</v>
      </c>
      <c r="AV22" s="326">
        <v>7384019</v>
      </c>
      <c r="AW22" s="589"/>
      <c r="AX22" s="345">
        <v>154714012</v>
      </c>
    </row>
    <row r="23" spans="1:50" x14ac:dyDescent="0.3">
      <c r="A23" s="273" t="s">
        <v>245</v>
      </c>
      <c r="B23" s="328"/>
      <c r="C23" s="324"/>
      <c r="D23" s="580"/>
      <c r="E23" s="326"/>
      <c r="F23" s="326"/>
      <c r="G23" s="335"/>
      <c r="H23" s="326">
        <v>75014</v>
      </c>
      <c r="I23" s="326"/>
      <c r="J23" s="326"/>
      <c r="K23" s="326"/>
      <c r="L23" s="326"/>
      <c r="M23" s="338"/>
      <c r="N23" s="338"/>
      <c r="O23" s="326"/>
      <c r="P23" s="326"/>
      <c r="Q23" s="341"/>
      <c r="R23" s="341"/>
      <c r="S23" s="326"/>
      <c r="T23" s="326"/>
      <c r="U23" s="326"/>
      <c r="V23" s="326"/>
      <c r="W23" s="326"/>
      <c r="X23" s="326"/>
      <c r="Y23" s="326"/>
      <c r="Z23" s="326"/>
      <c r="AA23" s="344"/>
      <c r="AB23" s="344"/>
      <c r="AC23" s="326"/>
      <c r="AD23" s="326"/>
      <c r="AE23" s="326"/>
      <c r="AF23" s="326"/>
      <c r="AG23" s="326"/>
      <c r="AH23" s="326"/>
      <c r="AI23" s="326"/>
      <c r="AJ23" s="326"/>
      <c r="AK23" s="326"/>
      <c r="AL23" s="326"/>
      <c r="AM23" s="347"/>
      <c r="AN23" s="347"/>
      <c r="AO23" s="348"/>
      <c r="AP23" s="348"/>
      <c r="AQ23" s="351"/>
      <c r="AR23" s="351"/>
      <c r="AS23" s="345"/>
      <c r="AT23" s="345"/>
      <c r="AU23" s="326"/>
      <c r="AV23" s="326"/>
      <c r="AW23" s="589"/>
      <c r="AX23" s="345"/>
    </row>
    <row r="24" spans="1:50" x14ac:dyDescent="0.3">
      <c r="A24" s="273" t="s">
        <v>200</v>
      </c>
      <c r="B24" s="333"/>
      <c r="C24" s="324">
        <v>-23</v>
      </c>
      <c r="D24" s="580">
        <v>1275</v>
      </c>
      <c r="E24" s="326">
        <v>408</v>
      </c>
      <c r="F24" s="326">
        <v>-5137</v>
      </c>
      <c r="G24" s="335"/>
      <c r="H24" s="326">
        <v>-160173</v>
      </c>
      <c r="I24" s="326">
        <v>2476</v>
      </c>
      <c r="J24" s="326">
        <v>12798</v>
      </c>
      <c r="K24" s="326">
        <v>2964</v>
      </c>
      <c r="L24" s="326">
        <v>272</v>
      </c>
      <c r="M24" s="338">
        <v>-46</v>
      </c>
      <c r="N24" s="338">
        <v>209</v>
      </c>
      <c r="O24" s="326"/>
      <c r="P24" s="326"/>
      <c r="Q24" s="341">
        <v>2924</v>
      </c>
      <c r="R24" s="341">
        <v>1424</v>
      </c>
      <c r="S24" s="326"/>
      <c r="T24" s="326"/>
      <c r="U24" s="326">
        <v>1976</v>
      </c>
      <c r="V24" s="326">
        <v>7215</v>
      </c>
      <c r="W24" s="326"/>
      <c r="X24" s="326"/>
      <c r="Y24" s="326">
        <v>2721</v>
      </c>
      <c r="Z24" s="326">
        <v>-9110</v>
      </c>
      <c r="AA24" s="344">
        <v>416</v>
      </c>
      <c r="AB24" s="344">
        <v>126</v>
      </c>
      <c r="AC24" s="326"/>
      <c r="AD24" s="326"/>
      <c r="AE24" s="326"/>
      <c r="AF24" s="326"/>
      <c r="AG24" s="326">
        <v>10048</v>
      </c>
      <c r="AH24" s="326">
        <v>-1365</v>
      </c>
      <c r="AI24" s="326"/>
      <c r="AJ24" s="326"/>
      <c r="AK24" s="326"/>
      <c r="AL24" s="326"/>
      <c r="AM24" s="347"/>
      <c r="AN24" s="347"/>
      <c r="AO24" s="348">
        <v>299</v>
      </c>
      <c r="AP24" s="348">
        <v>3058</v>
      </c>
      <c r="AQ24" s="351"/>
      <c r="AR24" s="351"/>
      <c r="AS24" s="345">
        <v>-164</v>
      </c>
      <c r="AT24" s="345">
        <v>1361</v>
      </c>
      <c r="AU24" s="326"/>
      <c r="AV24" s="326"/>
      <c r="AW24" s="589"/>
      <c r="AX24" s="345">
        <v>3831904</v>
      </c>
    </row>
    <row r="25" spans="1:50" ht="17.25" x14ac:dyDescent="0.35">
      <c r="A25" s="273" t="s">
        <v>201</v>
      </c>
      <c r="B25" s="333"/>
      <c r="C25" s="325"/>
      <c r="D25" s="581"/>
      <c r="E25" s="327"/>
      <c r="F25" s="327"/>
      <c r="G25" s="336"/>
      <c r="H25" s="327"/>
      <c r="I25" s="327">
        <v>5613</v>
      </c>
      <c r="J25" s="327">
        <v>5247</v>
      </c>
      <c r="K25" s="327">
        <v>21421</v>
      </c>
      <c r="L25" s="327">
        <v>18550</v>
      </c>
      <c r="M25" s="339"/>
      <c r="N25" s="339"/>
      <c r="O25" s="327"/>
      <c r="P25" s="327"/>
      <c r="Q25" s="342"/>
      <c r="R25" s="342"/>
      <c r="S25" s="327"/>
      <c r="T25" s="327"/>
      <c r="U25" s="327"/>
      <c r="V25" s="327"/>
      <c r="W25" s="327"/>
      <c r="X25" s="327"/>
      <c r="Y25" s="327">
        <v>13480</v>
      </c>
      <c r="Z25" s="327">
        <v>18394</v>
      </c>
      <c r="AA25" s="344"/>
      <c r="AB25" s="344"/>
      <c r="AC25" s="327"/>
      <c r="AD25" s="327"/>
      <c r="AE25" s="346"/>
      <c r="AF25" s="346"/>
      <c r="AG25" s="327"/>
      <c r="AH25" s="327">
        <v>12579</v>
      </c>
      <c r="AI25" s="327"/>
      <c r="AJ25" s="327"/>
      <c r="AK25" s="327"/>
      <c r="AL25" s="327"/>
      <c r="AM25" s="347"/>
      <c r="AN25" s="347"/>
      <c r="AO25" s="350">
        <v>879</v>
      </c>
      <c r="AP25" s="350">
        <v>1000</v>
      </c>
      <c r="AQ25" s="351"/>
      <c r="AR25" s="351"/>
      <c r="AS25" s="345">
        <v>1491</v>
      </c>
      <c r="AT25" s="345">
        <v>423</v>
      </c>
      <c r="AU25" s="327"/>
      <c r="AV25" s="327"/>
      <c r="AW25" s="336"/>
      <c r="AX25" s="327"/>
    </row>
    <row r="26" spans="1:50" x14ac:dyDescent="0.3">
      <c r="A26" s="273" t="s">
        <v>202</v>
      </c>
      <c r="B26" s="333"/>
      <c r="C26" s="324">
        <v>210633</v>
      </c>
      <c r="D26" s="580">
        <f>545849+120503</f>
        <v>666352</v>
      </c>
      <c r="E26" s="326"/>
      <c r="F26" s="326"/>
      <c r="G26" s="335"/>
      <c r="H26" s="326"/>
      <c r="I26" s="326"/>
      <c r="J26" s="326"/>
      <c r="K26" s="326"/>
      <c r="L26" s="326"/>
      <c r="M26" s="338"/>
      <c r="N26" s="338"/>
      <c r="O26" s="326"/>
      <c r="P26" s="326"/>
      <c r="Q26" s="341"/>
      <c r="R26" s="341"/>
      <c r="S26" s="326"/>
      <c r="T26" s="326"/>
      <c r="U26" s="326"/>
      <c r="V26" s="326"/>
      <c r="W26" s="326">
        <v>492350</v>
      </c>
      <c r="X26" s="326">
        <v>-195304</v>
      </c>
      <c r="Y26" s="326"/>
      <c r="Z26" s="326"/>
      <c r="AA26" s="344"/>
      <c r="AB26" s="344"/>
      <c r="AC26" s="326"/>
      <c r="AD26" s="326"/>
      <c r="AE26" s="326">
        <v>880233</v>
      </c>
      <c r="AF26" s="326">
        <v>331552</v>
      </c>
      <c r="AG26" s="326"/>
      <c r="AH26" s="326"/>
      <c r="AI26" s="326">
        <v>185602</v>
      </c>
      <c r="AJ26" s="326"/>
      <c r="AK26" s="326"/>
      <c r="AL26" s="326"/>
      <c r="AM26" s="347"/>
      <c r="AN26" s="347"/>
      <c r="AO26" s="312"/>
      <c r="AP26" s="312"/>
      <c r="AQ26" s="351">
        <v>211321</v>
      </c>
      <c r="AR26" s="351">
        <v>166637</v>
      </c>
      <c r="AS26" s="345">
        <v>18915</v>
      </c>
      <c r="AT26" s="345">
        <v>17579</v>
      </c>
      <c r="AU26" s="326">
        <v>-202701</v>
      </c>
      <c r="AV26" s="326">
        <v>-396720</v>
      </c>
      <c r="AW26" s="589"/>
      <c r="AX26" s="345">
        <v>34188537</v>
      </c>
    </row>
    <row r="27" spans="1:50" x14ac:dyDescent="0.3">
      <c r="A27" s="273" t="s">
        <v>203</v>
      </c>
      <c r="B27" s="333"/>
      <c r="C27" s="324"/>
      <c r="D27" s="580"/>
      <c r="E27" s="326"/>
      <c r="F27" s="326"/>
      <c r="G27" s="335"/>
      <c r="H27" s="326"/>
      <c r="I27" s="326"/>
      <c r="J27" s="326"/>
      <c r="K27" s="326"/>
      <c r="L27" s="326"/>
      <c r="M27" s="338"/>
      <c r="N27" s="338"/>
      <c r="O27" s="326"/>
      <c r="P27" s="326"/>
      <c r="Q27" s="341"/>
      <c r="R27" s="341"/>
      <c r="S27" s="326"/>
      <c r="T27" s="326"/>
      <c r="U27" s="326"/>
      <c r="V27" s="326"/>
      <c r="W27" s="326"/>
      <c r="X27" s="326"/>
      <c r="Y27" s="326"/>
      <c r="Z27" s="326"/>
      <c r="AA27" s="344"/>
      <c r="AB27" s="344"/>
      <c r="AC27" s="326"/>
      <c r="AD27" s="326"/>
      <c r="AE27" s="326"/>
      <c r="AF27" s="326"/>
      <c r="AG27" s="326"/>
      <c r="AH27" s="326"/>
      <c r="AI27" s="326"/>
      <c r="AJ27" s="326"/>
      <c r="AK27" s="326"/>
      <c r="AL27" s="326"/>
      <c r="AM27" s="347"/>
      <c r="AN27" s="347"/>
      <c r="AO27" s="348">
        <v>1548473</v>
      </c>
      <c r="AP27" s="348">
        <v>2368179</v>
      </c>
      <c r="AQ27" s="351"/>
      <c r="AR27" s="351"/>
      <c r="AS27" s="345"/>
      <c r="AT27" s="345"/>
      <c r="AU27" s="326"/>
      <c r="AV27" s="326"/>
      <c r="AW27" s="589"/>
      <c r="AX27" s="345"/>
    </row>
    <row r="28" spans="1:50" x14ac:dyDescent="0.3">
      <c r="A28" s="273" t="s">
        <v>204</v>
      </c>
      <c r="B28" s="333"/>
      <c r="C28" s="324"/>
      <c r="D28" s="580"/>
      <c r="E28" s="326"/>
      <c r="F28" s="326"/>
      <c r="G28" s="335"/>
      <c r="H28" s="326"/>
      <c r="I28" s="326"/>
      <c r="J28" s="326"/>
      <c r="K28" s="326"/>
      <c r="L28" s="326"/>
      <c r="M28" s="338"/>
      <c r="N28" s="338"/>
      <c r="O28" s="326"/>
      <c r="P28" s="326"/>
      <c r="Q28" s="341"/>
      <c r="R28" s="341"/>
      <c r="S28" s="326"/>
      <c r="T28" s="326"/>
      <c r="U28" s="326"/>
      <c r="V28" s="326"/>
      <c r="W28" s="326"/>
      <c r="X28" s="326"/>
      <c r="Y28" s="326"/>
      <c r="Z28" s="326"/>
      <c r="AA28" s="344"/>
      <c r="AB28" s="344"/>
      <c r="AC28" s="326"/>
      <c r="AD28" s="326"/>
      <c r="AE28" s="326"/>
      <c r="AF28" s="326"/>
      <c r="AG28" s="326"/>
      <c r="AH28" s="326"/>
      <c r="AI28" s="326"/>
      <c r="AJ28" s="326"/>
      <c r="AK28" s="326"/>
      <c r="AL28" s="326"/>
      <c r="AM28" s="347"/>
      <c r="AN28" s="347"/>
      <c r="AO28" s="312"/>
      <c r="AP28" s="312"/>
      <c r="AQ28" s="351"/>
      <c r="AR28" s="351"/>
      <c r="AS28" s="345"/>
      <c r="AT28" s="345"/>
      <c r="AU28" s="326"/>
      <c r="AV28" s="326"/>
      <c r="AW28" s="589"/>
      <c r="AX28" s="345"/>
    </row>
    <row r="29" spans="1:50" x14ac:dyDescent="0.3">
      <c r="A29" s="273" t="s">
        <v>205</v>
      </c>
      <c r="B29" s="333"/>
      <c r="C29" s="324">
        <v>47876</v>
      </c>
      <c r="D29" s="580"/>
      <c r="E29" s="326"/>
      <c r="F29" s="326"/>
      <c r="G29" s="335"/>
      <c r="H29" s="326">
        <v>147980</v>
      </c>
      <c r="I29" s="326">
        <v>-693114</v>
      </c>
      <c r="J29" s="326">
        <v>840128</v>
      </c>
      <c r="K29" s="326"/>
      <c r="L29" s="326">
        <v>42000</v>
      </c>
      <c r="M29" s="338"/>
      <c r="N29" s="338"/>
      <c r="O29" s="326">
        <v>133818</v>
      </c>
      <c r="P29" s="326">
        <v>349211</v>
      </c>
      <c r="Q29" s="341"/>
      <c r="R29" s="341"/>
      <c r="S29" s="326">
        <v>25000</v>
      </c>
      <c r="T29" s="326">
        <v>86500</v>
      </c>
      <c r="U29" s="326">
        <v>47000</v>
      </c>
      <c r="V29" s="326"/>
      <c r="W29" s="326"/>
      <c r="X29" s="326">
        <v>1065990</v>
      </c>
      <c r="Y29" s="326">
        <v>201234</v>
      </c>
      <c r="Z29" s="326">
        <v>1399277</v>
      </c>
      <c r="AA29" s="344">
        <v>26012</v>
      </c>
      <c r="AB29" s="344">
        <v>-37205</v>
      </c>
      <c r="AC29" s="326"/>
      <c r="AD29" s="326">
        <v>518968</v>
      </c>
      <c r="AE29" s="326">
        <v>220003</v>
      </c>
      <c r="AF29" s="326">
        <v>100303</v>
      </c>
      <c r="AG29" s="326">
        <v>218477</v>
      </c>
      <c r="AH29" s="326"/>
      <c r="AI29" s="326"/>
      <c r="AJ29" s="326"/>
      <c r="AK29" s="326"/>
      <c r="AL29" s="326">
        <v>229364</v>
      </c>
      <c r="AM29" s="347"/>
      <c r="AN29" s="347"/>
      <c r="AO29" s="348">
        <v>-1057993</v>
      </c>
      <c r="AP29" s="348">
        <v>518760</v>
      </c>
      <c r="AQ29" s="351"/>
      <c r="AR29" s="351">
        <v>172475</v>
      </c>
      <c r="AS29" s="345">
        <v>199000</v>
      </c>
      <c r="AT29" s="345">
        <v>170400</v>
      </c>
      <c r="AU29" s="326">
        <v>6028</v>
      </c>
      <c r="AV29" s="326">
        <v>-9987</v>
      </c>
      <c r="AW29" s="589"/>
      <c r="AX29" s="345">
        <v>7430441</v>
      </c>
    </row>
    <row r="30" spans="1:50" ht="17.25" x14ac:dyDescent="0.35">
      <c r="A30" s="273" t="s">
        <v>206</v>
      </c>
      <c r="B30" s="333"/>
      <c r="C30" s="325">
        <v>-81</v>
      </c>
      <c r="D30" s="581">
        <v>-81</v>
      </c>
      <c r="E30" s="327"/>
      <c r="F30" s="327"/>
      <c r="G30" s="336"/>
      <c r="H30" s="327"/>
      <c r="I30" s="327"/>
      <c r="J30" s="327"/>
      <c r="K30" s="327"/>
      <c r="L30" s="327"/>
      <c r="M30" s="339"/>
      <c r="N30" s="339"/>
      <c r="O30" s="327"/>
      <c r="P30" s="327"/>
      <c r="Q30" s="342"/>
      <c r="R30" s="342"/>
      <c r="S30" s="327"/>
      <c r="T30" s="327"/>
      <c r="U30" s="327"/>
      <c r="V30" s="327"/>
      <c r="W30" s="327"/>
      <c r="X30" s="327">
        <v>354028</v>
      </c>
      <c r="Y30" s="327"/>
      <c r="Z30" s="327"/>
      <c r="AA30" s="344"/>
      <c r="AB30" s="344"/>
      <c r="AC30" s="327"/>
      <c r="AD30" s="327"/>
      <c r="AE30" s="346">
        <v>-49</v>
      </c>
      <c r="AF30" s="346">
        <v>-27</v>
      </c>
      <c r="AG30" s="327"/>
      <c r="AH30" s="327"/>
      <c r="AI30" s="327"/>
      <c r="AJ30" s="327"/>
      <c r="AK30" s="327"/>
      <c r="AL30" s="327"/>
      <c r="AM30" s="347"/>
      <c r="AN30" s="347"/>
      <c r="AO30" s="350">
        <v>-2333</v>
      </c>
      <c r="AP30" s="350">
        <v>7250</v>
      </c>
      <c r="AQ30" s="351"/>
      <c r="AR30" s="351"/>
      <c r="AS30" s="345"/>
      <c r="AT30" s="345"/>
      <c r="AU30" s="327"/>
      <c r="AV30" s="327"/>
      <c r="AW30" s="336"/>
      <c r="AX30" s="327"/>
    </row>
    <row r="31" spans="1:50" ht="17.25" x14ac:dyDescent="0.35">
      <c r="A31" s="273" t="s">
        <v>275</v>
      </c>
      <c r="B31" s="333"/>
      <c r="C31" s="325"/>
      <c r="D31" s="581"/>
      <c r="E31" s="327"/>
      <c r="F31" s="327"/>
      <c r="G31" s="336"/>
      <c r="H31" s="327"/>
      <c r="I31" s="327">
        <v>2721</v>
      </c>
      <c r="J31" s="327">
        <v>8836</v>
      </c>
      <c r="K31" s="327"/>
      <c r="L31" s="327"/>
      <c r="M31" s="339"/>
      <c r="N31" s="339">
        <v>187500</v>
      </c>
      <c r="O31" s="327"/>
      <c r="P31" s="327">
        <v>-248629</v>
      </c>
      <c r="Q31" s="342"/>
      <c r="R31" s="342"/>
      <c r="S31" s="327"/>
      <c r="T31" s="327"/>
      <c r="U31" s="327"/>
      <c r="V31" s="327"/>
      <c r="W31" s="327"/>
      <c r="X31" s="327"/>
      <c r="Y31" s="327"/>
      <c r="Z31" s="327"/>
      <c r="AA31" s="344"/>
      <c r="AB31" s="344"/>
      <c r="AC31" s="327"/>
      <c r="AD31" s="327"/>
      <c r="AE31" s="346"/>
      <c r="AF31" s="346"/>
      <c r="AG31" s="327"/>
      <c r="AH31" s="327"/>
      <c r="AI31" s="327">
        <v>16855</v>
      </c>
      <c r="AJ31" s="327">
        <v>4411</v>
      </c>
      <c r="AK31" s="327"/>
      <c r="AL31" s="327"/>
      <c r="AM31" s="347"/>
      <c r="AN31" s="347"/>
      <c r="AO31" s="350"/>
      <c r="AP31" s="350"/>
      <c r="AQ31" s="351">
        <f>14561-13819</f>
        <v>742</v>
      </c>
      <c r="AR31" s="351"/>
      <c r="AS31" s="345"/>
      <c r="AT31" s="345"/>
      <c r="AU31" s="327"/>
      <c r="AV31" s="327"/>
      <c r="AW31" s="336"/>
      <c r="AX31" s="327">
        <f>17318627+19392</f>
        <v>17338019</v>
      </c>
    </row>
    <row r="32" spans="1:50" x14ac:dyDescent="0.3">
      <c r="A32" s="273" t="s">
        <v>207</v>
      </c>
      <c r="B32" s="333"/>
      <c r="C32" s="324">
        <v>543151</v>
      </c>
      <c r="D32" s="580"/>
      <c r="E32" s="326">
        <v>16865</v>
      </c>
      <c r="F32" s="326">
        <v>433204</v>
      </c>
      <c r="G32" s="335"/>
      <c r="H32" s="326"/>
      <c r="I32" s="326">
        <v>565949</v>
      </c>
      <c r="J32" s="326">
        <v>589472</v>
      </c>
      <c r="K32" s="326">
        <v>24629</v>
      </c>
      <c r="L32" s="326">
        <v>20162</v>
      </c>
      <c r="M32" s="338">
        <v>266440</v>
      </c>
      <c r="N32" s="338">
        <v>271761</v>
      </c>
      <c r="O32" s="326">
        <v>7619</v>
      </c>
      <c r="P32" s="326">
        <v>8390</v>
      </c>
      <c r="Q32" s="341">
        <v>31194</v>
      </c>
      <c r="R32" s="341">
        <v>28266</v>
      </c>
      <c r="S32" s="326">
        <v>23449</v>
      </c>
      <c r="T32" s="326">
        <v>28223</v>
      </c>
      <c r="U32" s="326">
        <v>19245</v>
      </c>
      <c r="V32" s="326">
        <v>19971</v>
      </c>
      <c r="W32" s="326">
        <v>1710355</v>
      </c>
      <c r="X32" s="326">
        <v>1711830</v>
      </c>
      <c r="Y32" s="326">
        <v>3058989</v>
      </c>
      <c r="Z32" s="326">
        <v>3157495</v>
      </c>
      <c r="AA32" s="345">
        <v>79622</v>
      </c>
      <c r="AB32" s="345">
        <v>79885</v>
      </c>
      <c r="AC32" s="326">
        <v>141735</v>
      </c>
      <c r="AD32" s="326">
        <v>140688</v>
      </c>
      <c r="AE32" s="326">
        <v>312514</v>
      </c>
      <c r="AF32" s="326">
        <v>300781</v>
      </c>
      <c r="AG32" s="326">
        <v>742394</v>
      </c>
      <c r="AH32" s="326">
        <v>679368</v>
      </c>
      <c r="AI32" s="326">
        <v>212897</v>
      </c>
      <c r="AJ32" s="326">
        <v>218317</v>
      </c>
      <c r="AK32" s="326">
        <v>148989</v>
      </c>
      <c r="AL32" s="326">
        <v>153855</v>
      </c>
      <c r="AM32" s="347"/>
      <c r="AN32" s="347"/>
      <c r="AO32" s="348">
        <v>2816123</v>
      </c>
      <c r="AP32" s="348">
        <v>2433246</v>
      </c>
      <c r="AQ32" s="351">
        <v>12737</v>
      </c>
      <c r="AR32" s="351">
        <v>13694</v>
      </c>
      <c r="AS32" s="345">
        <v>43774</v>
      </c>
      <c r="AT32" s="345">
        <v>46931</v>
      </c>
      <c r="AU32" s="326">
        <v>292053</v>
      </c>
      <c r="AV32" s="326">
        <v>269120</v>
      </c>
      <c r="AW32" s="335"/>
      <c r="AX32" s="326">
        <v>387119</v>
      </c>
    </row>
    <row r="33" spans="1:50" s="656" customFormat="1" ht="18" x14ac:dyDescent="0.35">
      <c r="A33" s="644" t="s">
        <v>208</v>
      </c>
      <c r="B33" s="645"/>
      <c r="C33" s="646">
        <v>8545443</v>
      </c>
      <c r="D33" s="647">
        <v>8681376</v>
      </c>
      <c r="E33" s="648">
        <v>1074386</v>
      </c>
      <c r="F33" s="648">
        <v>1134750</v>
      </c>
      <c r="G33" s="649"/>
      <c r="H33" s="648">
        <v>1615026</v>
      </c>
      <c r="I33" s="648">
        <v>9645329</v>
      </c>
      <c r="J33" s="648">
        <v>11825894</v>
      </c>
      <c r="K33" s="648">
        <v>3677934</v>
      </c>
      <c r="L33" s="648">
        <v>4757874</v>
      </c>
      <c r="M33" s="650">
        <v>3974309</v>
      </c>
      <c r="N33" s="650">
        <v>3763845</v>
      </c>
      <c r="O33" s="648">
        <v>1444086</v>
      </c>
      <c r="P33" s="648">
        <v>1981426</v>
      </c>
      <c r="Q33" s="651">
        <v>2995381</v>
      </c>
      <c r="R33" s="651">
        <v>2946293</v>
      </c>
      <c r="S33" s="648">
        <v>3848597</v>
      </c>
      <c r="T33" s="648">
        <v>4831903</v>
      </c>
      <c r="U33" s="648">
        <v>2611642</v>
      </c>
      <c r="V33" s="648">
        <v>3248970</v>
      </c>
      <c r="W33" s="648">
        <v>25996008</v>
      </c>
      <c r="X33" s="648" t="s">
        <v>284</v>
      </c>
      <c r="Y33" s="648">
        <v>20181077</v>
      </c>
      <c r="Z33" s="648">
        <v>25159469</v>
      </c>
      <c r="AA33" s="652">
        <v>1333002</v>
      </c>
      <c r="AB33" s="652">
        <v>1619484</v>
      </c>
      <c r="AC33" s="648">
        <v>3065971</v>
      </c>
      <c r="AD33" s="648">
        <v>3321828</v>
      </c>
      <c r="AE33" s="648">
        <v>9498763</v>
      </c>
      <c r="AF33" s="648">
        <v>9710601</v>
      </c>
      <c r="AG33" s="648">
        <v>16703498</v>
      </c>
      <c r="AH33" s="648">
        <v>15494765</v>
      </c>
      <c r="AI33" s="648">
        <v>6004471</v>
      </c>
      <c r="AJ33" s="648">
        <v>6066342</v>
      </c>
      <c r="AK33" s="648">
        <v>5840205</v>
      </c>
      <c r="AL33" s="648">
        <v>6557557</v>
      </c>
      <c r="AM33" s="653"/>
      <c r="AN33" s="653"/>
      <c r="AO33" s="654">
        <v>21130595</v>
      </c>
      <c r="AP33" s="654">
        <v>22941703</v>
      </c>
      <c r="AQ33" s="655">
        <v>2847026</v>
      </c>
      <c r="AR33" s="655">
        <v>3044606</v>
      </c>
      <c r="AS33" s="652">
        <v>2782211</v>
      </c>
      <c r="AT33" s="652">
        <v>2630302</v>
      </c>
      <c r="AU33" s="648">
        <v>11905739</v>
      </c>
      <c r="AV33" s="648">
        <v>10381462</v>
      </c>
      <c r="AW33" s="649"/>
      <c r="AX33" s="648">
        <v>304026041</v>
      </c>
    </row>
    <row r="34" spans="1:50" x14ac:dyDescent="0.3">
      <c r="A34" s="273" t="s">
        <v>209</v>
      </c>
      <c r="B34" s="328" t="s">
        <v>210</v>
      </c>
      <c r="C34" s="324">
        <v>17003269</v>
      </c>
      <c r="D34" s="580">
        <v>27424114</v>
      </c>
      <c r="E34" s="326">
        <v>960300</v>
      </c>
      <c r="F34" s="326">
        <v>1241858</v>
      </c>
      <c r="G34" s="335"/>
      <c r="H34" s="326">
        <v>4811103</v>
      </c>
      <c r="I34" s="326">
        <v>20290996</v>
      </c>
      <c r="J34" s="326">
        <v>27405019</v>
      </c>
      <c r="K34" s="326">
        <v>1962650</v>
      </c>
      <c r="L34" s="326">
        <v>1746532</v>
      </c>
      <c r="M34" s="338">
        <v>7515918</v>
      </c>
      <c r="N34" s="338">
        <v>8636937</v>
      </c>
      <c r="O34" s="326">
        <v>1202692</v>
      </c>
      <c r="P34" s="326">
        <v>1785068</v>
      </c>
      <c r="Q34" s="341">
        <v>588088</v>
      </c>
      <c r="R34" s="341">
        <v>348770</v>
      </c>
      <c r="S34" s="326">
        <v>6670257</v>
      </c>
      <c r="T34" s="326">
        <v>6039057</v>
      </c>
      <c r="U34" s="326">
        <v>2280380</v>
      </c>
      <c r="V34" s="326">
        <v>1916257</v>
      </c>
      <c r="W34" s="326">
        <v>72670157</v>
      </c>
      <c r="X34" s="326">
        <v>75229907</v>
      </c>
      <c r="Y34" s="326">
        <v>74619459</v>
      </c>
      <c r="Z34" s="326">
        <v>77472001</v>
      </c>
      <c r="AA34" s="345">
        <v>3675983</v>
      </c>
      <c r="AB34" s="345">
        <v>2419290</v>
      </c>
      <c r="AC34" s="326">
        <v>23616076</v>
      </c>
      <c r="AD34" s="326">
        <v>16862119</v>
      </c>
      <c r="AE34" s="326">
        <v>15714663</v>
      </c>
      <c r="AF34" s="326">
        <v>13509060</v>
      </c>
      <c r="AG34" s="326">
        <v>26393848</v>
      </c>
      <c r="AH34" s="326">
        <v>32056460</v>
      </c>
      <c r="AI34" s="326">
        <v>10514913</v>
      </c>
      <c r="AJ34" s="326">
        <v>10442031</v>
      </c>
      <c r="AK34" s="326">
        <v>10088023</v>
      </c>
      <c r="AL34" s="326">
        <v>13153793</v>
      </c>
      <c r="AM34" s="347"/>
      <c r="AN34" s="347"/>
      <c r="AO34" s="348">
        <v>92524378</v>
      </c>
      <c r="AP34" s="348">
        <v>60952979</v>
      </c>
      <c r="AQ34" s="351">
        <v>1805692</v>
      </c>
      <c r="AR34" s="351">
        <v>2451727</v>
      </c>
      <c r="AS34" s="345">
        <v>5155666</v>
      </c>
      <c r="AT34" s="345">
        <v>3995449</v>
      </c>
      <c r="AU34" s="326">
        <v>10390835</v>
      </c>
      <c r="AV34" s="326">
        <v>10722598</v>
      </c>
      <c r="AW34" s="335"/>
      <c r="AX34" s="326">
        <v>1033150051</v>
      </c>
    </row>
    <row r="35" spans="1:50" x14ac:dyDescent="0.3">
      <c r="A35" s="273" t="s">
        <v>211</v>
      </c>
      <c r="B35" s="333"/>
      <c r="C35" s="324">
        <v>35532</v>
      </c>
      <c r="D35" s="580"/>
      <c r="E35" s="326">
        <v>256</v>
      </c>
      <c r="F35" s="326">
        <v>579</v>
      </c>
      <c r="G35" s="335"/>
      <c r="H35" s="326">
        <v>6935</v>
      </c>
      <c r="I35" s="326">
        <v>561227</v>
      </c>
      <c r="J35" s="326">
        <v>443247</v>
      </c>
      <c r="K35" s="326"/>
      <c r="L35" s="326"/>
      <c r="M35" s="338">
        <v>15094</v>
      </c>
      <c r="N35" s="338">
        <v>7200</v>
      </c>
      <c r="O35" s="326">
        <v>105</v>
      </c>
      <c r="P35" s="326">
        <v>67</v>
      </c>
      <c r="Q35" s="341">
        <v>145</v>
      </c>
      <c r="R35" s="341">
        <v>213</v>
      </c>
      <c r="S35" s="326">
        <v>3965</v>
      </c>
      <c r="T35" s="326">
        <v>4470</v>
      </c>
      <c r="U35" s="326">
        <v>7155</v>
      </c>
      <c r="V35" s="326">
        <v>7439</v>
      </c>
      <c r="W35" s="326">
        <f>349795+2526815</f>
        <v>2876610</v>
      </c>
      <c r="X35" s="326">
        <f>243369+3379059</f>
        <v>3622428</v>
      </c>
      <c r="Y35" s="326">
        <v>438794</v>
      </c>
      <c r="Z35" s="326">
        <v>346761</v>
      </c>
      <c r="AA35" s="345">
        <v>170</v>
      </c>
      <c r="AB35" s="345">
        <v>70</v>
      </c>
      <c r="AC35" s="326"/>
      <c r="AD35" s="326"/>
      <c r="AE35" s="326">
        <v>159890</v>
      </c>
      <c r="AF35" s="326">
        <v>101341</v>
      </c>
      <c r="AG35" s="326">
        <v>10870</v>
      </c>
      <c r="AH35" s="326">
        <v>7452</v>
      </c>
      <c r="AI35" s="326">
        <v>19878</v>
      </c>
      <c r="AJ35" s="326">
        <v>15335</v>
      </c>
      <c r="AK35" s="326">
        <v>1027</v>
      </c>
      <c r="AL35" s="326">
        <v>2793</v>
      </c>
      <c r="AM35" s="347"/>
      <c r="AN35" s="347"/>
      <c r="AO35" s="348">
        <v>266512</v>
      </c>
      <c r="AP35" s="348">
        <v>191613</v>
      </c>
      <c r="AQ35" s="351">
        <v>1476</v>
      </c>
      <c r="AR35" s="351">
        <v>2071</v>
      </c>
      <c r="AS35" s="345">
        <v>36</v>
      </c>
      <c r="AT35" s="345">
        <v>15</v>
      </c>
      <c r="AU35" s="326"/>
      <c r="AV35" s="326"/>
      <c r="AW35" s="335"/>
      <c r="AX35" s="326">
        <v>8951833</v>
      </c>
    </row>
    <row r="36" spans="1:50" ht="17.25" x14ac:dyDescent="0.35">
      <c r="A36" s="273" t="s">
        <v>212</v>
      </c>
      <c r="B36" s="333"/>
      <c r="C36" s="325"/>
      <c r="D36" s="581">
        <v>18007</v>
      </c>
      <c r="E36" s="327"/>
      <c r="F36" s="327"/>
      <c r="G36" s="336"/>
      <c r="H36" s="327"/>
      <c r="I36" s="327"/>
      <c r="J36" s="327"/>
      <c r="K36" s="327"/>
      <c r="L36" s="327"/>
      <c r="M36" s="339"/>
      <c r="N36" s="339"/>
      <c r="O36" s="327"/>
      <c r="P36" s="327"/>
      <c r="Q36" s="342"/>
      <c r="R36" s="342"/>
      <c r="S36" s="327"/>
      <c r="T36" s="327"/>
      <c r="U36" s="327"/>
      <c r="V36" s="327"/>
      <c r="W36" s="327"/>
      <c r="X36" s="327"/>
      <c r="Y36" s="327"/>
      <c r="Z36" s="327"/>
      <c r="AA36" s="344"/>
      <c r="AB36" s="344"/>
      <c r="AC36" s="327"/>
      <c r="AD36" s="327"/>
      <c r="AE36" s="346"/>
      <c r="AF36" s="346"/>
      <c r="AG36" s="327"/>
      <c r="AH36" s="327"/>
      <c r="AI36" s="327"/>
      <c r="AJ36" s="327"/>
      <c r="AK36" s="327"/>
      <c r="AL36" s="327"/>
      <c r="AM36" s="347"/>
      <c r="AN36" s="347"/>
      <c r="AO36" s="312"/>
      <c r="AP36" s="312"/>
      <c r="AQ36" s="351"/>
      <c r="AR36" s="351"/>
      <c r="AS36" s="345"/>
      <c r="AT36" s="345"/>
      <c r="AU36" s="327"/>
      <c r="AV36" s="327"/>
      <c r="AW36" s="336"/>
      <c r="AX36" s="327"/>
    </row>
    <row r="37" spans="1:50" x14ac:dyDescent="0.3">
      <c r="A37" s="273" t="s">
        <v>213</v>
      </c>
      <c r="B37" s="333"/>
      <c r="C37" s="324">
        <v>23863155</v>
      </c>
      <c r="D37" s="580">
        <v>10635541</v>
      </c>
      <c r="E37" s="326">
        <v>2552742</v>
      </c>
      <c r="F37" s="326"/>
      <c r="G37" s="335"/>
      <c r="H37" s="326">
        <v>-88999</v>
      </c>
      <c r="I37" s="326">
        <v>21519930</v>
      </c>
      <c r="J37" s="326">
        <v>13954170</v>
      </c>
      <c r="K37" s="326">
        <v>8696160</v>
      </c>
      <c r="L37" s="326">
        <v>5850115</v>
      </c>
      <c r="M37" s="338">
        <v>28873629</v>
      </c>
      <c r="N37" s="338">
        <v>8174687</v>
      </c>
      <c r="O37" s="326">
        <v>2785518</v>
      </c>
      <c r="P37" s="326">
        <v>3247993</v>
      </c>
      <c r="Q37" s="341">
        <v>5166627</v>
      </c>
      <c r="R37" s="341">
        <v>2886381</v>
      </c>
      <c r="S37" s="326">
        <v>10944445</v>
      </c>
      <c r="T37" s="326">
        <v>8610015</v>
      </c>
      <c r="U37" s="326">
        <f>709104+1062647</f>
        <v>1771751</v>
      </c>
      <c r="V37" s="326">
        <f>-181645+2430335</f>
        <v>2248690</v>
      </c>
      <c r="W37" s="326">
        <v>98143317</v>
      </c>
      <c r="X37" s="326">
        <v>65196775</v>
      </c>
      <c r="Y37" s="326">
        <v>59745347</v>
      </c>
      <c r="Z37" s="326">
        <v>66185031</v>
      </c>
      <c r="AA37" s="344">
        <v>8367463</v>
      </c>
      <c r="AB37" s="344">
        <v>5481823</v>
      </c>
      <c r="AC37" s="326">
        <v>-6982113</v>
      </c>
      <c r="AD37" s="326">
        <v>-2439017</v>
      </c>
      <c r="AE37" s="326">
        <v>13744352</v>
      </c>
      <c r="AF37" s="326">
        <v>18199563</v>
      </c>
      <c r="AG37" s="326">
        <v>78305703</v>
      </c>
      <c r="AH37" s="326">
        <v>39501169</v>
      </c>
      <c r="AI37" s="326">
        <f>6795221+15139296</f>
        <v>21934517</v>
      </c>
      <c r="AJ37" s="326">
        <f>-2728653+13531860</f>
        <v>10803207</v>
      </c>
      <c r="AK37" s="326">
        <f>7148864+10418635</f>
        <v>17567499</v>
      </c>
      <c r="AL37" s="326">
        <f>-4117629+10148089</f>
        <v>6030460</v>
      </c>
      <c r="AM37" s="347"/>
      <c r="AN37" s="347"/>
      <c r="AO37" s="348">
        <v>73945354</v>
      </c>
      <c r="AP37" s="348">
        <v>55769390</v>
      </c>
      <c r="AQ37" s="351">
        <v>4203970</v>
      </c>
      <c r="AR37" s="351">
        <v>2428972</v>
      </c>
      <c r="AS37" s="345">
        <v>7048410</v>
      </c>
      <c r="AT37" s="345">
        <v>5902062</v>
      </c>
      <c r="AU37" s="326">
        <f>30408071+29514036</f>
        <v>59922107</v>
      </c>
      <c r="AV37" s="326">
        <f>23337952+2464128</f>
        <v>25802080</v>
      </c>
      <c r="AW37" s="335"/>
      <c r="AX37" s="326">
        <v>1653511674</v>
      </c>
    </row>
    <row r="38" spans="1:50" x14ac:dyDescent="0.3">
      <c r="A38" s="273" t="s">
        <v>214</v>
      </c>
      <c r="B38" s="333"/>
      <c r="C38" s="324">
        <v>-813037</v>
      </c>
      <c r="D38" s="580">
        <v>-447720</v>
      </c>
      <c r="E38" s="326">
        <v>-100220</v>
      </c>
      <c r="F38" s="326">
        <v>-100014</v>
      </c>
      <c r="G38" s="335"/>
      <c r="H38" s="326">
        <v>5978</v>
      </c>
      <c r="I38" s="326">
        <v>-11426</v>
      </c>
      <c r="J38" s="326">
        <v>-139362</v>
      </c>
      <c r="K38" s="326">
        <v>-26212</v>
      </c>
      <c r="L38" s="326">
        <v>7138</v>
      </c>
      <c r="M38" s="338">
        <v>-884775</v>
      </c>
      <c r="N38" s="338">
        <v>-405878</v>
      </c>
      <c r="O38" s="326"/>
      <c r="P38" s="326">
        <v>60670</v>
      </c>
      <c r="Q38" s="341">
        <v>-92591</v>
      </c>
      <c r="R38" s="341">
        <v>-93189</v>
      </c>
      <c r="S38" s="326">
        <v>-392866</v>
      </c>
      <c r="T38" s="326">
        <v>-119953</v>
      </c>
      <c r="U38" s="326">
        <v>58090</v>
      </c>
      <c r="V38" s="326">
        <v>8521</v>
      </c>
      <c r="W38" s="326">
        <v>-5051844</v>
      </c>
      <c r="X38" s="326">
        <v>-4458417</v>
      </c>
      <c r="Y38" s="326">
        <v>-11433007</v>
      </c>
      <c r="Z38" s="326">
        <v>-27657629</v>
      </c>
      <c r="AA38" s="344">
        <v>15490</v>
      </c>
      <c r="AB38" s="344">
        <v>5619</v>
      </c>
      <c r="AC38" s="326"/>
      <c r="AD38" s="326"/>
      <c r="AE38" s="326">
        <v>-415319</v>
      </c>
      <c r="AF38" s="326">
        <v>-192287</v>
      </c>
      <c r="AG38" s="326">
        <v>-911290</v>
      </c>
      <c r="AH38" s="326">
        <v>-7104310</v>
      </c>
      <c r="AI38" s="326">
        <v>-1904688</v>
      </c>
      <c r="AJ38" s="326">
        <v>-650872</v>
      </c>
      <c r="AK38" s="326"/>
      <c r="AL38" s="326"/>
      <c r="AM38" s="347"/>
      <c r="AN38" s="347"/>
      <c r="AO38" s="348">
        <v>-968260</v>
      </c>
      <c r="AP38" s="348">
        <v>-564942</v>
      </c>
      <c r="AQ38" s="351"/>
      <c r="AR38" s="351"/>
      <c r="AS38" s="345">
        <v>-494626</v>
      </c>
      <c r="AT38" s="345">
        <v>-207716</v>
      </c>
      <c r="AU38" s="326">
        <v>-2321796</v>
      </c>
      <c r="AV38" s="326">
        <v>-3182566</v>
      </c>
      <c r="AW38" s="335"/>
      <c r="AX38" s="326"/>
    </row>
    <row r="39" spans="1:50" x14ac:dyDescent="0.3">
      <c r="A39" s="273" t="s">
        <v>215</v>
      </c>
      <c r="B39" s="333"/>
      <c r="C39" s="324"/>
      <c r="D39" s="580"/>
      <c r="E39" s="326"/>
      <c r="F39" s="326"/>
      <c r="G39" s="335"/>
      <c r="H39" s="326"/>
      <c r="I39" s="326"/>
      <c r="J39" s="326"/>
      <c r="K39" s="326"/>
      <c r="L39" s="326"/>
      <c r="M39" s="338"/>
      <c r="N39" s="338"/>
      <c r="O39" s="326"/>
      <c r="P39" s="326"/>
      <c r="Q39" s="341"/>
      <c r="R39" s="341"/>
      <c r="S39" s="326"/>
      <c r="T39" s="326"/>
      <c r="U39" s="326"/>
      <c r="V39" s="326"/>
      <c r="W39" s="326"/>
      <c r="X39" s="326"/>
      <c r="Y39" s="326"/>
      <c r="Z39" s="326"/>
      <c r="AA39" s="344"/>
      <c r="AB39" s="344"/>
      <c r="AC39" s="326"/>
      <c r="AD39" s="326"/>
      <c r="AE39" s="326"/>
      <c r="AF39" s="326"/>
      <c r="AG39" s="326"/>
      <c r="AH39" s="326"/>
      <c r="AI39" s="326"/>
      <c r="AJ39" s="326"/>
      <c r="AK39" s="326"/>
      <c r="AL39" s="326"/>
      <c r="AM39" s="347"/>
      <c r="AN39" s="347"/>
      <c r="AO39" s="312"/>
      <c r="AP39" s="312"/>
      <c r="AQ39" s="351"/>
      <c r="AR39" s="351"/>
      <c r="AS39" s="345"/>
      <c r="AT39" s="345"/>
      <c r="AU39" s="326"/>
      <c r="AV39" s="326"/>
      <c r="AW39" s="335"/>
      <c r="AX39" s="326"/>
    </row>
    <row r="40" spans="1:50" x14ac:dyDescent="0.3">
      <c r="A40" s="273" t="s">
        <v>216</v>
      </c>
      <c r="B40" s="333"/>
      <c r="C40" s="324">
        <v>27222414</v>
      </c>
      <c r="D40" s="580">
        <f>-3996143+669476</f>
        <v>-3326667</v>
      </c>
      <c r="E40" s="326"/>
      <c r="F40" s="326">
        <v>-95404</v>
      </c>
      <c r="G40" s="335"/>
      <c r="H40" s="326"/>
      <c r="I40" s="326">
        <v>41911390</v>
      </c>
      <c r="J40" s="326">
        <v>-2450092</v>
      </c>
      <c r="K40" s="326"/>
      <c r="L40" s="326"/>
      <c r="M40" s="338"/>
      <c r="N40" s="338"/>
      <c r="O40" s="326"/>
      <c r="P40" s="326"/>
      <c r="Q40" s="341"/>
      <c r="R40" s="341"/>
      <c r="S40" s="326"/>
      <c r="T40" s="326"/>
      <c r="U40" s="326"/>
      <c r="V40" s="326"/>
      <c r="W40" s="326">
        <v>107135425</v>
      </c>
      <c r="X40" s="326">
        <v>-7748924</v>
      </c>
      <c r="Y40" s="326">
        <v>190351355</v>
      </c>
      <c r="Z40" s="326">
        <v>2315022</v>
      </c>
      <c r="AA40" s="344"/>
      <c r="AB40" s="344"/>
      <c r="AC40" s="326">
        <v>7033029</v>
      </c>
      <c r="AD40" s="326">
        <v>1364783</v>
      </c>
      <c r="AE40" s="326"/>
      <c r="AF40" s="326"/>
      <c r="AG40" s="326"/>
      <c r="AH40" s="326"/>
      <c r="AI40" s="326"/>
      <c r="AJ40" s="326"/>
      <c r="AK40" s="326"/>
      <c r="AL40" s="326"/>
      <c r="AM40" s="347"/>
      <c r="AN40" s="347"/>
      <c r="AO40" s="348">
        <v>133311162</v>
      </c>
      <c r="AP40" s="348">
        <v>66715327</v>
      </c>
      <c r="AQ40" s="351"/>
      <c r="AR40" s="351"/>
      <c r="AS40" s="345"/>
      <c r="AT40" s="345"/>
      <c r="AU40" s="326"/>
      <c r="AV40" s="326"/>
      <c r="AW40" s="335"/>
      <c r="AX40" s="326"/>
    </row>
    <row r="41" spans="1:50" ht="17.25" x14ac:dyDescent="0.35">
      <c r="A41" s="273" t="s">
        <v>217</v>
      </c>
      <c r="B41" s="333"/>
      <c r="C41" s="325">
        <v>-813037</v>
      </c>
      <c r="D41" s="581"/>
      <c r="E41" s="327"/>
      <c r="F41" s="327"/>
      <c r="G41" s="336"/>
      <c r="H41" s="327">
        <v>12931</v>
      </c>
      <c r="I41" s="327"/>
      <c r="J41" s="327">
        <v>1808397</v>
      </c>
      <c r="K41" s="327"/>
      <c r="L41" s="327"/>
      <c r="M41" s="339"/>
      <c r="N41" s="339"/>
      <c r="O41" s="327"/>
      <c r="P41" s="327"/>
      <c r="Q41" s="342"/>
      <c r="R41" s="342"/>
      <c r="S41" s="327"/>
      <c r="T41" s="327"/>
      <c r="U41" s="327"/>
      <c r="V41" s="327"/>
      <c r="W41" s="327">
        <v>3564771</v>
      </c>
      <c r="X41" s="327">
        <v>4617996</v>
      </c>
      <c r="Y41" s="327">
        <v>12741574</v>
      </c>
      <c r="Z41" s="327">
        <v>13054404</v>
      </c>
      <c r="AA41" s="344"/>
      <c r="AB41" s="344"/>
      <c r="AC41" s="327">
        <v>631922</v>
      </c>
      <c r="AD41" s="327">
        <v>372569</v>
      </c>
      <c r="AE41" s="346"/>
      <c r="AF41" s="346"/>
      <c r="AG41" s="327">
        <v>6245429</v>
      </c>
      <c r="AH41" s="327">
        <v>2278872</v>
      </c>
      <c r="AI41" s="327"/>
      <c r="AJ41" s="327"/>
      <c r="AK41" s="327"/>
      <c r="AL41" s="327"/>
      <c r="AM41" s="347"/>
      <c r="AN41" s="347"/>
      <c r="AO41" s="348">
        <v>16124425</v>
      </c>
      <c r="AP41" s="348">
        <v>11613316</v>
      </c>
      <c r="AQ41" s="351"/>
      <c r="AR41" s="351"/>
      <c r="AS41" s="326">
        <v>49213</v>
      </c>
      <c r="AT41" s="326">
        <v>-704339</v>
      </c>
      <c r="AU41" s="327"/>
      <c r="AV41" s="327"/>
      <c r="AW41" s="336"/>
      <c r="AX41" s="327">
        <v>28911</v>
      </c>
    </row>
    <row r="42" spans="1:50" ht="17.25" x14ac:dyDescent="0.35">
      <c r="A42" s="273" t="s">
        <v>246</v>
      </c>
      <c r="B42" s="333"/>
      <c r="C42" s="325"/>
      <c r="D42" s="581"/>
      <c r="E42" s="327"/>
      <c r="F42" s="327"/>
      <c r="G42" s="336"/>
      <c r="H42" s="327"/>
      <c r="I42" s="327"/>
      <c r="J42" s="327"/>
      <c r="K42" s="327"/>
      <c r="L42" s="327"/>
      <c r="M42" s="339"/>
      <c r="N42" s="339"/>
      <c r="O42" s="327"/>
      <c r="P42" s="327"/>
      <c r="Q42" s="342"/>
      <c r="R42" s="342"/>
      <c r="S42" s="327"/>
      <c r="T42" s="327"/>
      <c r="U42" s="327"/>
      <c r="V42" s="327"/>
      <c r="W42" s="327"/>
      <c r="X42" s="327"/>
      <c r="Y42" s="327"/>
      <c r="Z42" s="327"/>
      <c r="AA42" s="344"/>
      <c r="AB42" s="344"/>
      <c r="AC42" s="327"/>
      <c r="AD42" s="327"/>
      <c r="AE42" s="346">
        <v>24283985</v>
      </c>
      <c r="AF42" s="346">
        <v>5540704</v>
      </c>
      <c r="AG42" s="327"/>
      <c r="AH42" s="327"/>
      <c r="AI42" s="327"/>
      <c r="AJ42" s="327"/>
      <c r="AK42" s="327"/>
      <c r="AL42" s="327"/>
      <c r="AM42" s="347"/>
      <c r="AN42" s="347"/>
      <c r="AO42" s="348"/>
      <c r="AP42" s="348"/>
      <c r="AQ42" s="351"/>
      <c r="AR42" s="351"/>
      <c r="AS42" s="326">
        <v>2697441</v>
      </c>
      <c r="AT42" s="326">
        <v>-283565</v>
      </c>
      <c r="AU42" s="327"/>
      <c r="AV42" s="327"/>
      <c r="AW42" s="336"/>
      <c r="AX42" s="327">
        <v>-29495674</v>
      </c>
    </row>
    <row r="43" spans="1:50" ht="17.25" x14ac:dyDescent="0.35">
      <c r="A43" s="273" t="s">
        <v>248</v>
      </c>
      <c r="B43" s="333"/>
      <c r="C43" s="325"/>
      <c r="D43" s="581"/>
      <c r="E43" s="327"/>
      <c r="F43" s="327"/>
      <c r="G43" s="336"/>
      <c r="H43" s="327"/>
      <c r="I43" s="327">
        <v>54747</v>
      </c>
      <c r="J43" s="327"/>
      <c r="K43" s="327"/>
      <c r="L43" s="327"/>
      <c r="M43" s="339"/>
      <c r="N43" s="339"/>
      <c r="O43" s="327"/>
      <c r="P43" s="327"/>
      <c r="Q43" s="342"/>
      <c r="R43" s="342"/>
      <c r="S43" s="327"/>
      <c r="T43" s="327"/>
      <c r="U43" s="327"/>
      <c r="V43" s="327"/>
      <c r="W43" s="327"/>
      <c r="X43" s="327"/>
      <c r="Y43" s="327"/>
      <c r="Z43" s="327"/>
      <c r="AA43" s="344"/>
      <c r="AB43" s="344"/>
      <c r="AC43" s="327"/>
      <c r="AD43" s="327"/>
      <c r="AE43" s="346"/>
      <c r="AF43" s="346"/>
      <c r="AG43" s="327"/>
      <c r="AH43" s="327"/>
      <c r="AI43" s="327"/>
      <c r="AJ43" s="327"/>
      <c r="AK43" s="327"/>
      <c r="AL43" s="327"/>
      <c r="AM43" s="347"/>
      <c r="AN43" s="347"/>
      <c r="AO43" s="348"/>
      <c r="AP43" s="348"/>
      <c r="AQ43" s="351"/>
      <c r="AR43" s="351"/>
      <c r="AS43" s="326"/>
      <c r="AT43" s="326"/>
      <c r="AU43" s="327"/>
      <c r="AV43" s="327"/>
      <c r="AW43" s="336"/>
      <c r="AX43" s="327"/>
    </row>
    <row r="44" spans="1:50" ht="17.25" x14ac:dyDescent="0.35">
      <c r="A44" s="273" t="s">
        <v>282</v>
      </c>
      <c r="B44" s="333"/>
      <c r="C44" s="325"/>
      <c r="D44" s="581"/>
      <c r="E44" s="327"/>
      <c r="F44" s="327">
        <v>853729</v>
      </c>
      <c r="G44" s="336"/>
      <c r="H44" s="327"/>
      <c r="I44" s="327"/>
      <c r="J44" s="327"/>
      <c r="K44" s="327"/>
      <c r="L44" s="327"/>
      <c r="M44" s="339"/>
      <c r="N44" s="339"/>
      <c r="O44" s="327"/>
      <c r="P44" s="327"/>
      <c r="Q44" s="342"/>
      <c r="R44" s="342"/>
      <c r="S44" s="327"/>
      <c r="T44" s="327"/>
      <c r="U44" s="327"/>
      <c r="V44" s="327"/>
      <c r="W44" s="327"/>
      <c r="X44" s="327"/>
      <c r="Y44" s="327"/>
      <c r="Z44" s="327"/>
      <c r="AA44" s="344"/>
      <c r="AB44" s="344"/>
      <c r="AC44" s="327"/>
      <c r="AD44" s="327"/>
      <c r="AE44" s="346"/>
      <c r="AF44" s="346"/>
      <c r="AG44" s="327"/>
      <c r="AH44" s="327"/>
      <c r="AI44" s="327"/>
      <c r="AJ44" s="327"/>
      <c r="AK44" s="327"/>
      <c r="AL44" s="327"/>
      <c r="AM44" s="347"/>
      <c r="AN44" s="347"/>
      <c r="AO44" s="348"/>
      <c r="AP44" s="348"/>
      <c r="AQ44" s="351"/>
      <c r="AR44" s="351"/>
      <c r="AS44" s="326"/>
      <c r="AT44" s="326"/>
      <c r="AU44" s="327"/>
      <c r="AV44" s="327"/>
      <c r="AW44" s="336"/>
      <c r="AX44" s="327"/>
    </row>
    <row r="45" spans="1:50" s="656" customFormat="1" ht="18" x14ac:dyDescent="0.35">
      <c r="A45" s="644" t="s">
        <v>218</v>
      </c>
      <c r="B45" s="645"/>
      <c r="C45" s="646">
        <v>69273424</v>
      </c>
      <c r="D45" s="647">
        <v>34303275</v>
      </c>
      <c r="E45" s="648">
        <v>3413078</v>
      </c>
      <c r="F45" s="648">
        <v>1900748</v>
      </c>
      <c r="G45" s="649"/>
      <c r="H45" s="648">
        <v>4747948</v>
      </c>
      <c r="I45" s="648">
        <v>88969810</v>
      </c>
      <c r="J45" s="648">
        <v>40716754</v>
      </c>
      <c r="K45" s="648">
        <v>10632598</v>
      </c>
      <c r="L45" s="648">
        <v>7603785</v>
      </c>
      <c r="M45" s="650">
        <v>35519866</v>
      </c>
      <c r="N45" s="650">
        <v>16412946</v>
      </c>
      <c r="O45" s="648">
        <v>4115402</v>
      </c>
      <c r="P45" s="648">
        <v>5093798</v>
      </c>
      <c r="Q45" s="651">
        <v>5662269</v>
      </c>
      <c r="R45" s="651">
        <v>3142175</v>
      </c>
      <c r="S45" s="648">
        <v>17225800</v>
      </c>
      <c r="T45" s="648">
        <v>14533588</v>
      </c>
      <c r="U45" s="648">
        <v>4117376</v>
      </c>
      <c r="V45" s="648">
        <v>4180907</v>
      </c>
      <c r="W45" s="648">
        <v>279338436</v>
      </c>
      <c r="X45" s="648" t="s">
        <v>285</v>
      </c>
      <c r="Y45" s="648">
        <v>326463522</v>
      </c>
      <c r="Z45" s="648">
        <v>131715590</v>
      </c>
      <c r="AA45" s="652">
        <v>12059106</v>
      </c>
      <c r="AB45" s="652">
        <v>7906802</v>
      </c>
      <c r="AC45" s="648">
        <v>24298915</v>
      </c>
      <c r="AD45" s="648">
        <v>16160455</v>
      </c>
      <c r="AE45" s="648">
        <v>53487571</v>
      </c>
      <c r="AF45" s="648">
        <v>37158381</v>
      </c>
      <c r="AG45" s="648">
        <v>110044560</v>
      </c>
      <c r="AH45" s="648">
        <v>66739643</v>
      </c>
      <c r="AI45" s="648">
        <v>30564620</v>
      </c>
      <c r="AJ45" s="648">
        <v>20609701</v>
      </c>
      <c r="AK45" s="648">
        <v>27656549</v>
      </c>
      <c r="AL45" s="648">
        <v>19187046</v>
      </c>
      <c r="AM45" s="653"/>
      <c r="AN45" s="653"/>
      <c r="AO45" s="654">
        <v>315203571</v>
      </c>
      <c r="AP45" s="654">
        <v>194677683</v>
      </c>
      <c r="AQ45" s="655">
        <v>6011138</v>
      </c>
      <c r="AR45" s="655">
        <v>4882770</v>
      </c>
      <c r="AS45" s="652">
        <v>14456140</v>
      </c>
      <c r="AT45" s="652">
        <v>8701906</v>
      </c>
      <c r="AU45" s="648">
        <v>67991146</v>
      </c>
      <c r="AV45" s="648">
        <v>33342112</v>
      </c>
      <c r="AW45" s="649"/>
      <c r="AX45" s="648">
        <v>2666146795</v>
      </c>
    </row>
    <row r="46" spans="1:50" s="656" customFormat="1" ht="18" x14ac:dyDescent="0.35">
      <c r="A46" s="644" t="s">
        <v>219</v>
      </c>
      <c r="B46" s="645"/>
      <c r="C46" s="646">
        <v>1029801</v>
      </c>
      <c r="D46" s="647">
        <v>1218541</v>
      </c>
      <c r="E46" s="648">
        <v>236466</v>
      </c>
      <c r="F46" s="648">
        <v>147757</v>
      </c>
      <c r="G46" s="649"/>
      <c r="H46" s="648">
        <v>239306</v>
      </c>
      <c r="I46" s="648">
        <v>3199633</v>
      </c>
      <c r="J46" s="648">
        <v>1016236</v>
      </c>
      <c r="K46" s="648">
        <v>-474316</v>
      </c>
      <c r="L46" s="648">
        <v>-414281</v>
      </c>
      <c r="M46" s="650">
        <v>1124275</v>
      </c>
      <c r="N46" s="650">
        <v>837620</v>
      </c>
      <c r="O46" s="648">
        <v>1198529</v>
      </c>
      <c r="P46" s="648">
        <v>897726</v>
      </c>
      <c r="Q46" s="651">
        <v>40440</v>
      </c>
      <c r="R46" s="651">
        <v>7135</v>
      </c>
      <c r="S46" s="648">
        <v>218867</v>
      </c>
      <c r="T46" s="648">
        <v>150473</v>
      </c>
      <c r="U46" s="648"/>
      <c r="V46" s="648">
        <v>64506</v>
      </c>
      <c r="W46" s="648">
        <v>3902506</v>
      </c>
      <c r="X46" s="648" t="s">
        <v>286</v>
      </c>
      <c r="Y46" s="648">
        <v>12283221</v>
      </c>
      <c r="Z46" s="648">
        <v>9536545</v>
      </c>
      <c r="AA46" s="652">
        <v>862281</v>
      </c>
      <c r="AB46" s="652">
        <v>646761</v>
      </c>
      <c r="AC46" s="648">
        <v>376342</v>
      </c>
      <c r="AD46" s="648">
        <v>58423</v>
      </c>
      <c r="AE46" s="648">
        <v>2871657</v>
      </c>
      <c r="AF46" s="648">
        <v>2584699</v>
      </c>
      <c r="AG46" s="648">
        <v>-2875986</v>
      </c>
      <c r="AH46" s="648">
        <v>3451894</v>
      </c>
      <c r="AI46" s="648">
        <v>1507737</v>
      </c>
      <c r="AJ46" s="648">
        <v>1400600</v>
      </c>
      <c r="AK46" s="648">
        <v>-250138</v>
      </c>
      <c r="AL46" s="648">
        <v>826469</v>
      </c>
      <c r="AM46" s="653"/>
      <c r="AN46" s="653"/>
      <c r="AO46" s="654">
        <v>10028883</v>
      </c>
      <c r="AP46" s="654">
        <v>6269515</v>
      </c>
      <c r="AQ46" s="655">
        <v>364841</v>
      </c>
      <c r="AR46" s="655">
        <v>216770</v>
      </c>
      <c r="AS46" s="652">
        <v>154029</v>
      </c>
      <c r="AT46" s="652">
        <v>336768</v>
      </c>
      <c r="AU46" s="648">
        <v>449296</v>
      </c>
      <c r="AV46" s="648">
        <v>-113710</v>
      </c>
      <c r="AW46" s="649"/>
      <c r="AX46" s="648"/>
    </row>
    <row r="47" spans="1:50" x14ac:dyDescent="0.3">
      <c r="A47" s="328" t="s">
        <v>273</v>
      </c>
      <c r="B47" s="333"/>
      <c r="C47" s="325"/>
      <c r="D47" s="581"/>
      <c r="E47" s="326"/>
      <c r="F47" s="326"/>
      <c r="G47" s="335"/>
      <c r="H47" s="326"/>
      <c r="I47" s="326">
        <v>19686</v>
      </c>
      <c r="J47" s="326">
        <v>-6037</v>
      </c>
      <c r="K47" s="326"/>
      <c r="L47" s="326"/>
      <c r="M47" s="338"/>
      <c r="N47" s="338"/>
      <c r="O47" s="326"/>
      <c r="P47" s="326"/>
      <c r="Q47" s="342"/>
      <c r="R47" s="342"/>
      <c r="S47" s="326"/>
      <c r="T47" s="326"/>
      <c r="U47" s="326"/>
      <c r="V47" s="326"/>
      <c r="W47" s="326"/>
      <c r="X47" s="326"/>
      <c r="Y47" s="326">
        <v>-580343</v>
      </c>
      <c r="Z47" s="326">
        <v>-547644</v>
      </c>
      <c r="AA47" s="345">
        <v>47307</v>
      </c>
      <c r="AB47" s="345">
        <v>16289</v>
      </c>
      <c r="AC47" s="326"/>
      <c r="AD47" s="326"/>
      <c r="AE47" s="326"/>
      <c r="AF47" s="326"/>
      <c r="AG47" s="326"/>
      <c r="AH47" s="326"/>
      <c r="AI47" s="326"/>
      <c r="AJ47" s="326"/>
      <c r="AK47" s="326"/>
      <c r="AL47" s="326"/>
      <c r="AM47" s="347"/>
      <c r="AN47" s="347"/>
      <c r="AO47" s="349"/>
      <c r="AP47" s="349"/>
      <c r="AQ47" s="351"/>
      <c r="AR47" s="351"/>
      <c r="AS47" s="345"/>
      <c r="AT47" s="345"/>
      <c r="AU47" s="326"/>
      <c r="AV47" s="326"/>
      <c r="AW47" s="335"/>
      <c r="AX47" s="326"/>
    </row>
    <row r="48" spans="1:50" x14ac:dyDescent="0.3">
      <c r="A48" s="328" t="s">
        <v>220</v>
      </c>
      <c r="B48" s="333"/>
      <c r="C48" s="324"/>
      <c r="D48" s="580"/>
      <c r="E48" s="326"/>
      <c r="F48" s="326"/>
      <c r="G48" s="335"/>
      <c r="H48" s="326"/>
      <c r="I48" s="326"/>
      <c r="J48" s="326"/>
      <c r="K48" s="326"/>
      <c r="L48" s="326"/>
      <c r="M48" s="338"/>
      <c r="N48" s="338"/>
      <c r="O48" s="326"/>
      <c r="P48" s="326"/>
      <c r="Q48" s="341"/>
      <c r="R48" s="341"/>
      <c r="S48" s="326"/>
      <c r="T48" s="326"/>
      <c r="U48" s="326"/>
      <c r="V48" s="326"/>
      <c r="W48" s="326"/>
      <c r="X48" s="326"/>
      <c r="Y48" s="326"/>
      <c r="Z48" s="326"/>
      <c r="AA48" s="345"/>
      <c r="AB48" s="345"/>
      <c r="AC48" s="326"/>
      <c r="AD48" s="326"/>
      <c r="AE48" s="326"/>
      <c r="AF48" s="326"/>
      <c r="AG48" s="326"/>
      <c r="AH48" s="326"/>
      <c r="AI48" s="326"/>
      <c r="AJ48" s="326"/>
      <c r="AK48" s="326"/>
      <c r="AL48" s="326"/>
      <c r="AM48" s="347"/>
      <c r="AN48" s="347"/>
      <c r="AO48" s="312"/>
      <c r="AP48" s="312"/>
      <c r="AQ48" s="351"/>
      <c r="AR48" s="351"/>
      <c r="AS48" s="345"/>
      <c r="AT48" s="345"/>
      <c r="AU48" s="326"/>
      <c r="AV48" s="326"/>
      <c r="AW48" s="335"/>
      <c r="AX48" s="326"/>
    </row>
    <row r="49" spans="1:50" x14ac:dyDescent="0.3">
      <c r="A49" s="328" t="s">
        <v>252</v>
      </c>
      <c r="B49" s="333"/>
      <c r="C49" s="324"/>
      <c r="D49" s="580"/>
      <c r="E49" s="326"/>
      <c r="F49" s="326"/>
      <c r="G49" s="335"/>
      <c r="H49" s="326"/>
      <c r="I49" s="326"/>
      <c r="J49" s="326"/>
      <c r="K49" s="326"/>
      <c r="L49" s="326"/>
      <c r="M49" s="338"/>
      <c r="N49" s="338"/>
      <c r="O49" s="326"/>
      <c r="P49" s="326"/>
      <c r="Q49" s="341"/>
      <c r="R49" s="341"/>
      <c r="S49" s="326"/>
      <c r="T49" s="326"/>
      <c r="U49" s="326"/>
      <c r="V49" s="326"/>
      <c r="W49" s="326"/>
      <c r="X49" s="326"/>
      <c r="Y49" s="326"/>
      <c r="Z49" s="326"/>
      <c r="AA49" s="345"/>
      <c r="AB49" s="345"/>
      <c r="AC49" s="326"/>
      <c r="AD49" s="326"/>
      <c r="AE49" s="326"/>
      <c r="AF49" s="326"/>
      <c r="AG49" s="326"/>
      <c r="AH49" s="326"/>
      <c r="AI49" s="326"/>
      <c r="AJ49" s="326"/>
      <c r="AK49" s="326"/>
      <c r="AL49" s="326"/>
      <c r="AM49" s="347"/>
      <c r="AN49" s="347"/>
      <c r="AO49" s="312"/>
      <c r="AP49" s="312"/>
      <c r="AQ49" s="351"/>
      <c r="AR49" s="351"/>
      <c r="AS49" s="345"/>
      <c r="AT49" s="345"/>
      <c r="AU49" s="326"/>
      <c r="AV49" s="326"/>
      <c r="AW49" s="335"/>
      <c r="AX49" s="326"/>
    </row>
    <row r="50" spans="1:50" x14ac:dyDescent="0.3">
      <c r="A50" s="273" t="s">
        <v>221</v>
      </c>
      <c r="B50" s="333"/>
      <c r="C50" s="324"/>
      <c r="D50" s="580"/>
      <c r="E50" s="326"/>
      <c r="F50" s="326"/>
      <c r="G50" s="335"/>
      <c r="H50" s="326"/>
      <c r="I50" s="326"/>
      <c r="J50" s="326"/>
      <c r="K50" s="326"/>
      <c r="L50" s="326"/>
      <c r="M50" s="338"/>
      <c r="N50" s="338"/>
      <c r="O50" s="326"/>
      <c r="P50" s="326"/>
      <c r="Q50" s="341"/>
      <c r="R50" s="341"/>
      <c r="S50" s="326"/>
      <c r="T50" s="326"/>
      <c r="U50" s="326"/>
      <c r="V50" s="326"/>
      <c r="W50" s="326"/>
      <c r="X50" s="326"/>
      <c r="Y50" s="326"/>
      <c r="Z50" s="326"/>
      <c r="AA50" s="345"/>
      <c r="AB50" s="345"/>
      <c r="AC50" s="326"/>
      <c r="AD50" s="326"/>
      <c r="AE50" s="326"/>
      <c r="AF50" s="326"/>
      <c r="AG50" s="326"/>
      <c r="AH50" s="326"/>
      <c r="AI50" s="326"/>
      <c r="AJ50" s="326"/>
      <c r="AK50" s="326"/>
      <c r="AL50" s="326"/>
      <c r="AM50" s="347"/>
      <c r="AN50" s="347"/>
      <c r="AO50" s="348">
        <v>254713</v>
      </c>
      <c r="AP50" s="348">
        <v>9085721</v>
      </c>
      <c r="AQ50" s="351">
        <v>677557</v>
      </c>
      <c r="AR50" s="351">
        <v>298403</v>
      </c>
      <c r="AS50" s="345"/>
      <c r="AT50" s="345"/>
      <c r="AU50" s="326"/>
      <c r="AV50" s="326"/>
      <c r="AW50" s="335"/>
      <c r="AX50" s="326"/>
    </row>
    <row r="51" spans="1:50" ht="17.25" x14ac:dyDescent="0.35">
      <c r="A51" s="328" t="s">
        <v>135</v>
      </c>
      <c r="B51" s="333"/>
      <c r="C51" s="325"/>
      <c r="D51" s="581"/>
      <c r="E51" s="327"/>
      <c r="F51" s="327"/>
      <c r="G51" s="336"/>
      <c r="H51" s="327"/>
      <c r="I51" s="327"/>
      <c r="J51" s="327"/>
      <c r="K51" s="327"/>
      <c r="L51" s="327"/>
      <c r="M51" s="339"/>
      <c r="N51" s="339"/>
      <c r="O51" s="327"/>
      <c r="P51" s="327"/>
      <c r="Q51" s="342"/>
      <c r="R51" s="342"/>
      <c r="S51" s="327"/>
      <c r="T51" s="327"/>
      <c r="U51" s="327"/>
      <c r="V51" s="327"/>
      <c r="W51" s="327"/>
      <c r="X51" s="327"/>
      <c r="Y51" s="327"/>
      <c r="Z51" s="327"/>
      <c r="AA51" s="326"/>
      <c r="AB51" s="326"/>
      <c r="AC51" s="327"/>
      <c r="AD51" s="327"/>
      <c r="AE51" s="346"/>
      <c r="AF51" s="346"/>
      <c r="AG51" s="327"/>
      <c r="AH51" s="327"/>
      <c r="AI51" s="327"/>
      <c r="AJ51" s="327"/>
      <c r="AK51" s="327"/>
      <c r="AL51" s="327"/>
      <c r="AM51" s="347"/>
      <c r="AN51" s="347"/>
      <c r="AO51" s="312"/>
      <c r="AP51" s="312"/>
      <c r="AQ51" s="351"/>
      <c r="AR51" s="351"/>
      <c r="AS51" s="326"/>
      <c r="AT51" s="326"/>
      <c r="AU51" s="327"/>
      <c r="AV51" s="327"/>
      <c r="AW51" s="336"/>
      <c r="AX51" s="327"/>
    </row>
    <row r="52" spans="1:50" x14ac:dyDescent="0.3">
      <c r="A52" s="273" t="s">
        <v>222</v>
      </c>
      <c r="B52" s="333"/>
      <c r="C52" s="324">
        <v>1025195</v>
      </c>
      <c r="D52" s="580">
        <v>1200802</v>
      </c>
      <c r="E52" s="326"/>
      <c r="F52" s="326"/>
      <c r="G52" s="335"/>
      <c r="H52" s="326"/>
      <c r="I52" s="326">
        <v>2094803</v>
      </c>
      <c r="J52" s="326">
        <v>277934</v>
      </c>
      <c r="K52" s="326">
        <v>-823764</v>
      </c>
      <c r="L52" s="326">
        <v>-746000</v>
      </c>
      <c r="M52" s="338"/>
      <c r="N52" s="338"/>
      <c r="O52" s="326">
        <v>1129046</v>
      </c>
      <c r="P52" s="326">
        <v>160696</v>
      </c>
      <c r="Q52" s="343"/>
      <c r="R52" s="343"/>
      <c r="S52" s="326"/>
      <c r="T52" s="326"/>
      <c r="U52" s="326"/>
      <c r="V52" s="326"/>
      <c r="W52" s="326">
        <v>5645453</v>
      </c>
      <c r="X52" s="326">
        <v>5706308</v>
      </c>
      <c r="Y52" s="326">
        <v>10992463</v>
      </c>
      <c r="Z52" s="326">
        <v>7654483</v>
      </c>
      <c r="AA52" s="345"/>
      <c r="AB52" s="345"/>
      <c r="AC52" s="326">
        <v>187301</v>
      </c>
      <c r="AD52" s="326">
        <v>70821</v>
      </c>
      <c r="AE52" s="326"/>
      <c r="AF52" s="326"/>
      <c r="AG52" s="326">
        <v>1861410</v>
      </c>
      <c r="AH52" s="326">
        <v>1181528</v>
      </c>
      <c r="AI52" s="326">
        <v>418603</v>
      </c>
      <c r="AJ52" s="326">
        <v>252787</v>
      </c>
      <c r="AK52" s="326"/>
      <c r="AL52" s="326"/>
      <c r="AM52" s="347"/>
      <c r="AN52" s="347"/>
      <c r="AO52" s="348">
        <v>3955428</v>
      </c>
      <c r="AP52" s="348">
        <v>2709938</v>
      </c>
      <c r="AQ52" s="351"/>
      <c r="AR52" s="351"/>
      <c r="AS52" s="345">
        <v>474746</v>
      </c>
      <c r="AT52" s="345">
        <v>407933</v>
      </c>
      <c r="AU52" s="326">
        <v>193933</v>
      </c>
      <c r="AV52" s="326">
        <v>166402</v>
      </c>
      <c r="AW52" s="335"/>
      <c r="AX52" s="326"/>
    </row>
    <row r="53" spans="1:50" x14ac:dyDescent="0.3">
      <c r="A53" s="273" t="s">
        <v>244</v>
      </c>
      <c r="B53" s="333"/>
      <c r="C53" s="324"/>
      <c r="D53" s="580"/>
      <c r="E53" s="326">
        <v>33132</v>
      </c>
      <c r="F53" s="326">
        <v>-59809</v>
      </c>
      <c r="G53" s="335"/>
      <c r="H53" s="326">
        <v>180944</v>
      </c>
      <c r="I53" s="326"/>
      <c r="J53" s="326"/>
      <c r="K53" s="326"/>
      <c r="L53" s="326"/>
      <c r="M53" s="338">
        <v>1035460</v>
      </c>
      <c r="N53" s="338">
        <v>571746</v>
      </c>
      <c r="O53" s="326"/>
      <c r="P53" s="326"/>
      <c r="Q53" s="343">
        <v>37742</v>
      </c>
      <c r="R53" s="343">
        <v>3129</v>
      </c>
      <c r="S53" s="326">
        <v>218867</v>
      </c>
      <c r="T53" s="326">
        <v>1415034</v>
      </c>
      <c r="U53" s="326"/>
      <c r="V53" s="326">
        <v>15596</v>
      </c>
      <c r="W53" s="326"/>
      <c r="X53" s="326"/>
      <c r="Y53" s="326"/>
      <c r="Z53" s="326"/>
      <c r="AA53" s="345"/>
      <c r="AB53" s="345"/>
      <c r="AC53" s="326">
        <v>-42734</v>
      </c>
      <c r="AD53" s="326">
        <v>-185952</v>
      </c>
      <c r="AE53" s="326"/>
      <c r="AF53" s="326"/>
      <c r="AG53" s="326"/>
      <c r="AH53" s="326"/>
      <c r="AI53" s="326"/>
      <c r="AJ53" s="326"/>
      <c r="AK53" s="326"/>
      <c r="AL53" s="326"/>
      <c r="AM53" s="347"/>
      <c r="AN53" s="347"/>
      <c r="AO53" s="348"/>
      <c r="AP53" s="348"/>
      <c r="AQ53" s="351"/>
      <c r="AR53" s="351"/>
      <c r="AS53" s="345">
        <v>251682</v>
      </c>
      <c r="AT53" s="345"/>
      <c r="AU53" s="326"/>
      <c r="AV53" s="326"/>
      <c r="AW53" s="335"/>
      <c r="AX53" s="326"/>
    </row>
    <row r="54" spans="1:50" x14ac:dyDescent="0.3">
      <c r="A54" s="273" t="s">
        <v>223</v>
      </c>
      <c r="B54" s="333"/>
      <c r="C54" s="324"/>
      <c r="D54" s="580"/>
      <c r="E54" s="326"/>
      <c r="F54" s="326"/>
      <c r="G54" s="335"/>
      <c r="H54" s="326"/>
      <c r="I54" s="326"/>
      <c r="J54" s="326"/>
      <c r="K54" s="326"/>
      <c r="L54" s="326"/>
      <c r="M54" s="338"/>
      <c r="N54" s="338"/>
      <c r="O54" s="326"/>
      <c r="P54" s="326"/>
      <c r="Q54" s="343"/>
      <c r="R54" s="343"/>
      <c r="S54" s="326"/>
      <c r="T54" s="326"/>
      <c r="U54" s="326"/>
      <c r="V54" s="326"/>
      <c r="W54" s="326"/>
      <c r="X54" s="326"/>
      <c r="Y54" s="326"/>
      <c r="Z54" s="326"/>
      <c r="AA54" s="345"/>
      <c r="AB54" s="345"/>
      <c r="AC54" s="326"/>
      <c r="AD54" s="326"/>
      <c r="AE54" s="326"/>
      <c r="AF54" s="326"/>
      <c r="AG54" s="326"/>
      <c r="AH54" s="326"/>
      <c r="AI54" s="326"/>
      <c r="AJ54" s="326"/>
      <c r="AK54" s="326"/>
      <c r="AL54" s="326"/>
      <c r="AM54" s="347"/>
      <c r="AN54" s="347"/>
      <c r="AO54" s="312"/>
      <c r="AP54" s="312"/>
      <c r="AQ54" s="351"/>
      <c r="AR54" s="351"/>
      <c r="AS54" s="345"/>
      <c r="AT54" s="345"/>
      <c r="AU54" s="326"/>
      <c r="AV54" s="326"/>
      <c r="AW54" s="335"/>
      <c r="AX54" s="326"/>
    </row>
    <row r="55" spans="1:50" x14ac:dyDescent="0.3">
      <c r="A55" s="273" t="s">
        <v>224</v>
      </c>
      <c r="B55" s="333"/>
      <c r="C55" s="324">
        <v>4606</v>
      </c>
      <c r="D55" s="580">
        <v>17739</v>
      </c>
      <c r="E55" s="326">
        <v>203334</v>
      </c>
      <c r="F55" s="326">
        <v>207566</v>
      </c>
      <c r="G55" s="335"/>
      <c r="H55" s="326">
        <v>58362</v>
      </c>
      <c r="I55" s="326">
        <v>1085144</v>
      </c>
      <c r="J55" s="326">
        <v>744339</v>
      </c>
      <c r="K55" s="326">
        <v>349448</v>
      </c>
      <c r="L55" s="326">
        <v>331719</v>
      </c>
      <c r="M55" s="338">
        <v>88815</v>
      </c>
      <c r="N55" s="338">
        <v>265874</v>
      </c>
      <c r="O55" s="326">
        <v>69484</v>
      </c>
      <c r="P55" s="326">
        <v>-41729</v>
      </c>
      <c r="Q55" s="343">
        <v>2698</v>
      </c>
      <c r="R55" s="343">
        <v>4006</v>
      </c>
      <c r="S55" s="326"/>
      <c r="T55" s="326"/>
      <c r="U55" s="326"/>
      <c r="V55" s="326">
        <v>48910</v>
      </c>
      <c r="W55" s="326">
        <v>-1742947</v>
      </c>
      <c r="X55" s="326">
        <v>187830</v>
      </c>
      <c r="Y55" s="326">
        <v>710415</v>
      </c>
      <c r="Z55" s="326">
        <v>1333972</v>
      </c>
      <c r="AA55" s="345">
        <v>910115</v>
      </c>
      <c r="AB55" s="345">
        <v>630472</v>
      </c>
      <c r="AC55" s="326">
        <v>231775</v>
      </c>
      <c r="AD55" s="326">
        <v>173554</v>
      </c>
      <c r="AE55" s="326">
        <v>2871657</v>
      </c>
      <c r="AF55" s="326">
        <v>2584699</v>
      </c>
      <c r="AG55" s="326">
        <v>-3538111</v>
      </c>
      <c r="AH55" s="326">
        <v>22497702</v>
      </c>
      <c r="AI55" s="326">
        <v>1089134</v>
      </c>
      <c r="AJ55" s="326">
        <v>1147813</v>
      </c>
      <c r="AK55" s="326">
        <v>-250138</v>
      </c>
      <c r="AL55" s="326">
        <v>738046</v>
      </c>
      <c r="AM55" s="347"/>
      <c r="AN55" s="347"/>
      <c r="AO55" s="348">
        <v>6073454</v>
      </c>
      <c r="AP55" s="348">
        <v>6375782</v>
      </c>
      <c r="AQ55" s="351">
        <v>677557</v>
      </c>
      <c r="AR55" s="351">
        <v>298403</v>
      </c>
      <c r="AS55" s="345">
        <v>189144</v>
      </c>
      <c r="AT55" s="345">
        <v>186342</v>
      </c>
      <c r="AU55" s="326">
        <v>255363</v>
      </c>
      <c r="AV55" s="326">
        <v>-280112</v>
      </c>
      <c r="AW55" s="335"/>
      <c r="AX55" s="326"/>
    </row>
    <row r="56" spans="1:50" s="656" customFormat="1" ht="18" x14ac:dyDescent="0.35">
      <c r="A56" s="644" t="s">
        <v>274</v>
      </c>
      <c r="B56" s="645"/>
      <c r="C56" s="646">
        <f>C46</f>
        <v>1029801</v>
      </c>
      <c r="D56" s="646">
        <f>D46</f>
        <v>1218541</v>
      </c>
      <c r="E56" s="646">
        <v>236466</v>
      </c>
      <c r="F56" s="646">
        <f>F46</f>
        <v>147757</v>
      </c>
      <c r="G56" s="646"/>
      <c r="H56" s="646">
        <f>H46</f>
        <v>239306</v>
      </c>
      <c r="I56" s="646">
        <v>3179947</v>
      </c>
      <c r="J56" s="646">
        <v>1022273</v>
      </c>
      <c r="K56" s="646">
        <v>-474316</v>
      </c>
      <c r="L56" s="646">
        <f>L46</f>
        <v>-414281</v>
      </c>
      <c r="M56" s="646">
        <v>1124275</v>
      </c>
      <c r="N56" s="646">
        <f>N46</f>
        <v>837620</v>
      </c>
      <c r="O56" s="646">
        <v>1198530</v>
      </c>
      <c r="P56" s="646">
        <f>P46</f>
        <v>897726</v>
      </c>
      <c r="Q56" s="646">
        <v>40440</v>
      </c>
      <c r="R56" s="646">
        <f>R46</f>
        <v>7135</v>
      </c>
      <c r="S56" s="646">
        <v>218867</v>
      </c>
      <c r="T56" s="646">
        <f>T46</f>
        <v>150473</v>
      </c>
      <c r="U56" s="646"/>
      <c r="V56" s="646">
        <f>V46</f>
        <v>64506</v>
      </c>
      <c r="W56" s="646">
        <v>3902506</v>
      </c>
      <c r="X56" s="646" t="s">
        <v>286</v>
      </c>
      <c r="Y56" s="646">
        <v>11702878</v>
      </c>
      <c r="Z56" s="646">
        <v>8988455</v>
      </c>
      <c r="AA56" s="646">
        <v>814974</v>
      </c>
      <c r="AB56" s="646">
        <v>630472</v>
      </c>
      <c r="AC56" s="646">
        <v>376342</v>
      </c>
      <c r="AD56" s="646">
        <f>AD46</f>
        <v>58423</v>
      </c>
      <c r="AE56" s="646">
        <f>AE55</f>
        <v>2871657</v>
      </c>
      <c r="AF56" s="646">
        <f>AF46</f>
        <v>2584699</v>
      </c>
      <c r="AG56" s="646"/>
      <c r="AH56" s="646">
        <f t="shared" ref="AH56:AQ56" si="2">AH46</f>
        <v>3451894</v>
      </c>
      <c r="AI56" s="646">
        <f t="shared" si="2"/>
        <v>1507737</v>
      </c>
      <c r="AJ56" s="646">
        <f t="shared" si="2"/>
        <v>1400600</v>
      </c>
      <c r="AK56" s="646">
        <f t="shared" si="2"/>
        <v>-250138</v>
      </c>
      <c r="AL56" s="646">
        <f t="shared" si="2"/>
        <v>826469</v>
      </c>
      <c r="AM56" s="646">
        <f t="shared" si="2"/>
        <v>0</v>
      </c>
      <c r="AN56" s="646">
        <f t="shared" si="2"/>
        <v>0</v>
      </c>
      <c r="AO56" s="646">
        <f t="shared" si="2"/>
        <v>10028883</v>
      </c>
      <c r="AP56" s="646">
        <f t="shared" si="2"/>
        <v>6269515</v>
      </c>
      <c r="AQ56" s="646">
        <f t="shared" si="2"/>
        <v>364841</v>
      </c>
      <c r="AR56" s="646">
        <v>298403</v>
      </c>
      <c r="AS56" s="646">
        <v>915572</v>
      </c>
      <c r="AT56" s="646">
        <v>594275</v>
      </c>
      <c r="AU56" s="646">
        <f>AU46</f>
        <v>449296</v>
      </c>
      <c r="AV56" s="646">
        <f>AV46</f>
        <v>-113710</v>
      </c>
      <c r="AW56" s="646">
        <f>AW46</f>
        <v>0</v>
      </c>
      <c r="AX56" s="646">
        <f>AX46</f>
        <v>0</v>
      </c>
    </row>
    <row r="57" spans="1:50" ht="17.25" x14ac:dyDescent="0.35">
      <c r="A57" s="273" t="s">
        <v>225</v>
      </c>
      <c r="B57" s="333"/>
      <c r="C57" s="325">
        <f>34968+564</f>
        <v>35532</v>
      </c>
      <c r="D57" s="581">
        <v>17361</v>
      </c>
      <c r="E57" s="327">
        <v>256</v>
      </c>
      <c r="F57" s="327">
        <v>579</v>
      </c>
      <c r="G57" s="336"/>
      <c r="H57" s="327">
        <v>6935</v>
      </c>
      <c r="I57" s="327">
        <v>561227</v>
      </c>
      <c r="J57" s="327">
        <v>443247</v>
      </c>
      <c r="K57" s="327"/>
      <c r="L57" s="327"/>
      <c r="M57" s="339">
        <v>15094</v>
      </c>
      <c r="N57" s="339">
        <v>7200</v>
      </c>
      <c r="O57" s="327">
        <v>105</v>
      </c>
      <c r="P57" s="327">
        <v>67</v>
      </c>
      <c r="Q57" s="84">
        <v>145</v>
      </c>
      <c r="R57" s="84">
        <v>213</v>
      </c>
      <c r="S57" s="327"/>
      <c r="T57" s="327"/>
      <c r="U57" s="327">
        <f>4174+2981</f>
        <v>7155</v>
      </c>
      <c r="V57" s="327">
        <f>2763+4676</f>
        <v>7439</v>
      </c>
      <c r="W57" s="327">
        <f>349795+2526815</f>
        <v>2876610</v>
      </c>
      <c r="X57" s="327">
        <f>243369+3379059</f>
        <v>3622428</v>
      </c>
      <c r="Y57" s="327"/>
      <c r="Z57" s="327"/>
      <c r="AA57" s="344"/>
      <c r="AB57" s="344"/>
      <c r="AC57" s="327"/>
      <c r="AD57" s="327"/>
      <c r="AE57" s="346">
        <v>159890</v>
      </c>
      <c r="AF57" s="346">
        <v>101341</v>
      </c>
      <c r="AG57" s="327">
        <v>10870</v>
      </c>
      <c r="AH57" s="327">
        <v>7452</v>
      </c>
      <c r="AI57" s="327">
        <v>19878</v>
      </c>
      <c r="AJ57" s="327">
        <v>15335</v>
      </c>
      <c r="AK57" s="327">
        <v>1027</v>
      </c>
      <c r="AL57" s="327">
        <v>2793</v>
      </c>
      <c r="AM57" s="347"/>
      <c r="AN57" s="347"/>
      <c r="AO57" s="348">
        <v>266512</v>
      </c>
      <c r="AP57" s="348">
        <v>191613</v>
      </c>
      <c r="AQ57" s="351"/>
      <c r="AR57" s="351">
        <v>2071</v>
      </c>
      <c r="AS57" s="326">
        <v>36</v>
      </c>
      <c r="AT57" s="326">
        <v>15</v>
      </c>
      <c r="AU57" s="327"/>
      <c r="AV57" s="327"/>
      <c r="AW57" s="336"/>
      <c r="AX57" s="327"/>
    </row>
    <row r="58" spans="1:50" x14ac:dyDescent="0.3">
      <c r="A58" s="273" t="s">
        <v>226</v>
      </c>
      <c r="B58" s="333"/>
      <c r="C58" s="324"/>
      <c r="D58" s="580">
        <v>646</v>
      </c>
      <c r="E58" s="326"/>
      <c r="F58" s="326"/>
      <c r="G58" s="335"/>
      <c r="H58" s="326"/>
      <c r="I58" s="326"/>
      <c r="J58" s="326"/>
      <c r="K58" s="326"/>
      <c r="L58" s="326"/>
      <c r="M58" s="338"/>
      <c r="N58" s="338"/>
      <c r="O58" s="326"/>
      <c r="P58" s="326"/>
      <c r="Q58" s="343"/>
      <c r="R58" s="343"/>
      <c r="S58" s="326"/>
      <c r="T58" s="326"/>
      <c r="U58" s="326"/>
      <c r="V58" s="326"/>
      <c r="W58" s="326"/>
      <c r="X58" s="326"/>
      <c r="Y58" s="326"/>
      <c r="Z58" s="326"/>
      <c r="AA58" s="345"/>
      <c r="AB58" s="345"/>
      <c r="AC58" s="326"/>
      <c r="AD58" s="326"/>
      <c r="AE58" s="326"/>
      <c r="AF58" s="326"/>
      <c r="AG58" s="326">
        <v>13067100</v>
      </c>
      <c r="AH58" s="326">
        <v>12406200</v>
      </c>
      <c r="AI58" s="326"/>
      <c r="AJ58" s="326"/>
      <c r="AK58" s="326"/>
      <c r="AL58" s="326"/>
      <c r="AM58" s="347"/>
      <c r="AN58" s="347"/>
      <c r="AO58" s="312"/>
      <c r="AP58" s="312"/>
      <c r="AQ58" s="351"/>
      <c r="AR58" s="351">
        <v>758978</v>
      </c>
      <c r="AS58" s="345"/>
      <c r="AT58" s="345"/>
      <c r="AU58" s="326"/>
      <c r="AV58" s="326"/>
      <c r="AW58" s="335"/>
      <c r="AX58" s="326"/>
    </row>
    <row r="59" spans="1:50" ht="17.25" thickBot="1" x14ac:dyDescent="0.35">
      <c r="A59" s="496" t="s">
        <v>227</v>
      </c>
      <c r="B59" s="497"/>
      <c r="C59" s="498">
        <v>1029801</v>
      </c>
      <c r="D59" s="582">
        <v>1218541</v>
      </c>
      <c r="E59" s="499">
        <v>236466</v>
      </c>
      <c r="F59" s="499">
        <v>147757</v>
      </c>
      <c r="G59" s="500"/>
      <c r="H59" s="499">
        <v>239306</v>
      </c>
      <c r="I59" s="499">
        <v>3179947</v>
      </c>
      <c r="J59" s="499">
        <v>744339</v>
      </c>
      <c r="K59" s="499"/>
      <c r="L59" s="499"/>
      <c r="M59" s="501">
        <v>1124275</v>
      </c>
      <c r="N59" s="501">
        <v>837620</v>
      </c>
      <c r="O59" s="499">
        <v>1198530</v>
      </c>
      <c r="P59" s="499">
        <v>897726</v>
      </c>
      <c r="Q59" s="502">
        <v>40440</v>
      </c>
      <c r="R59" s="502">
        <v>7135</v>
      </c>
      <c r="S59" s="499"/>
      <c r="T59" s="499"/>
      <c r="U59" s="499"/>
      <c r="V59" s="499">
        <v>64506</v>
      </c>
      <c r="W59" s="499">
        <v>3902506</v>
      </c>
      <c r="X59" s="499">
        <v>5894138</v>
      </c>
      <c r="Y59" s="499"/>
      <c r="Z59" s="499"/>
      <c r="AA59" s="503"/>
      <c r="AB59" s="503"/>
      <c r="AC59" s="499"/>
      <c r="AD59" s="499"/>
      <c r="AE59" s="499">
        <v>2871657</v>
      </c>
      <c r="AF59" s="499">
        <v>2584699</v>
      </c>
      <c r="AG59" s="499">
        <v>29285600</v>
      </c>
      <c r="AH59" s="499">
        <v>25949596</v>
      </c>
      <c r="AI59" s="499">
        <v>1507737</v>
      </c>
      <c r="AJ59" s="499">
        <v>1400600</v>
      </c>
      <c r="AK59" s="499">
        <v>-250138</v>
      </c>
      <c r="AL59" s="499">
        <v>826469</v>
      </c>
      <c r="AM59" s="504"/>
      <c r="AN59" s="504"/>
      <c r="AO59" s="505">
        <v>10028883</v>
      </c>
      <c r="AP59" s="505">
        <v>6269515</v>
      </c>
      <c r="AQ59" s="506"/>
      <c r="AR59" s="506">
        <v>216770</v>
      </c>
      <c r="AS59" s="503">
        <v>154029</v>
      </c>
      <c r="AT59" s="503">
        <v>336768</v>
      </c>
      <c r="AU59" s="506">
        <v>449296</v>
      </c>
      <c r="AV59" s="506">
        <v>-113710</v>
      </c>
      <c r="AW59" s="500"/>
      <c r="AX59" s="499"/>
    </row>
    <row r="60" spans="1:50" s="656" customFormat="1" ht="18.75" thickBot="1" x14ac:dyDescent="0.4">
      <c r="A60" s="657" t="s">
        <v>228</v>
      </c>
      <c r="B60" s="658"/>
      <c r="C60" s="659">
        <v>1065333</v>
      </c>
      <c r="D60" s="660">
        <v>1236548</v>
      </c>
      <c r="E60" s="661">
        <v>236722</v>
      </c>
      <c r="F60" s="661">
        <v>148336</v>
      </c>
      <c r="G60" s="662"/>
      <c r="H60" s="661">
        <v>246241</v>
      </c>
      <c r="I60" s="661">
        <v>3741174</v>
      </c>
      <c r="J60" s="661">
        <v>1187586</v>
      </c>
      <c r="K60" s="661"/>
      <c r="L60" s="661"/>
      <c r="M60" s="663">
        <v>1139369</v>
      </c>
      <c r="N60" s="663">
        <v>844820</v>
      </c>
      <c r="O60" s="661">
        <v>1198635</v>
      </c>
      <c r="P60" s="661">
        <v>897793</v>
      </c>
      <c r="Q60" s="664">
        <v>40585</v>
      </c>
      <c r="R60" s="664">
        <v>7348</v>
      </c>
      <c r="S60" s="661"/>
      <c r="T60" s="661"/>
      <c r="U60" s="661">
        <v>7155</v>
      </c>
      <c r="V60" s="661">
        <v>71945</v>
      </c>
      <c r="W60" s="661">
        <v>6779116</v>
      </c>
      <c r="X60" s="661" t="s">
        <v>287</v>
      </c>
      <c r="Y60" s="661"/>
      <c r="Z60" s="661"/>
      <c r="AA60" s="665"/>
      <c r="AB60" s="665"/>
      <c r="AC60" s="661"/>
      <c r="AD60" s="661"/>
      <c r="AE60" s="661">
        <v>3031547</v>
      </c>
      <c r="AF60" s="661">
        <v>2686040</v>
      </c>
      <c r="AG60" s="661">
        <v>42363570</v>
      </c>
      <c r="AH60" s="661">
        <v>38363248</v>
      </c>
      <c r="AI60" s="661">
        <v>1527615</v>
      </c>
      <c r="AJ60" s="661">
        <v>1415935</v>
      </c>
      <c r="AK60" s="661">
        <v>-249111</v>
      </c>
      <c r="AL60" s="661">
        <v>829262</v>
      </c>
      <c r="AM60" s="666"/>
      <c r="AN60" s="666"/>
      <c r="AO60" s="667">
        <v>10295394</v>
      </c>
      <c r="AP60" s="667">
        <v>6461128</v>
      </c>
      <c r="AQ60" s="668"/>
      <c r="AR60" s="668">
        <v>977819</v>
      </c>
      <c r="AS60" s="665">
        <v>154065</v>
      </c>
      <c r="AT60" s="665">
        <v>336783</v>
      </c>
      <c r="AU60" s="661">
        <f>AU59</f>
        <v>449296</v>
      </c>
      <c r="AV60" s="661">
        <f>AV59</f>
        <v>-113710</v>
      </c>
      <c r="AW60" s="662"/>
      <c r="AX60" s="661"/>
    </row>
  </sheetData>
  <mergeCells count="26">
    <mergeCell ref="A1:AX1"/>
    <mergeCell ref="A2:A3"/>
    <mergeCell ref="C2:D2"/>
    <mergeCell ref="E2:F2"/>
    <mergeCell ref="G2:H2"/>
    <mergeCell ref="I2:J2"/>
    <mergeCell ref="K2:L2"/>
    <mergeCell ref="M2:N2"/>
    <mergeCell ref="O2:P2"/>
    <mergeCell ref="Q2:R2"/>
    <mergeCell ref="Y2:Z2"/>
    <mergeCell ref="W2:X2"/>
    <mergeCell ref="U2:V2"/>
    <mergeCell ref="S2:T2"/>
    <mergeCell ref="AG2:AH2"/>
    <mergeCell ref="AE2:AF2"/>
    <mergeCell ref="AC2:AD2"/>
    <mergeCell ref="AA2:AB2"/>
    <mergeCell ref="AU2:AV2"/>
    <mergeCell ref="AW2:AX2"/>
    <mergeCell ref="AI2:AJ2"/>
    <mergeCell ref="AK2:AL2"/>
    <mergeCell ref="AM2:AN2"/>
    <mergeCell ref="AO2:AP2"/>
    <mergeCell ref="AQ2:AR2"/>
    <mergeCell ref="AS2:AT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workbookViewId="0">
      <pane xSplit="1" topLeftCell="S1" activePane="topRight" state="frozen"/>
      <selection pane="topRight" activeCell="X43" sqref="X43"/>
    </sheetView>
  </sheetViews>
  <sheetFormatPr defaultRowHeight="12.75" x14ac:dyDescent="0.25"/>
  <cols>
    <col min="1" max="1" width="21.85546875" style="1163" customWidth="1"/>
    <col min="2" max="2" width="14.140625" style="71" customWidth="1"/>
    <col min="3" max="3" width="16.7109375" style="71" customWidth="1"/>
    <col min="4" max="4" width="16.140625" style="71" customWidth="1"/>
    <col min="5" max="5" width="15.85546875" style="71" customWidth="1"/>
    <col min="6" max="6" width="14.42578125" style="71" customWidth="1"/>
    <col min="7" max="7" width="19" style="71" customWidth="1"/>
    <col min="8" max="8" width="16" style="71" customWidth="1"/>
    <col min="9" max="9" width="16.5703125" style="71" customWidth="1"/>
    <col min="10" max="10" width="16.85546875" style="71" customWidth="1"/>
    <col min="11" max="11" width="15.28515625" style="71" customWidth="1"/>
    <col min="12" max="12" width="16.42578125" style="71" customWidth="1"/>
    <col min="13" max="15" width="19.85546875" style="71" bestFit="1" customWidth="1"/>
    <col min="16" max="16" width="14.5703125" style="71" customWidth="1"/>
    <col min="17" max="17" width="13.85546875" style="71" customWidth="1"/>
    <col min="18" max="18" width="16.42578125" style="71" customWidth="1"/>
    <col min="19" max="19" width="17" style="71" customWidth="1"/>
    <col min="20" max="20" width="15.7109375" style="1110" customWidth="1"/>
    <col min="21" max="21" width="16.140625" style="71" customWidth="1"/>
    <col min="22" max="22" width="18.5703125" style="71" customWidth="1"/>
    <col min="23" max="23" width="16.140625" style="71" customWidth="1"/>
    <col min="24" max="24" width="15.7109375" style="71" customWidth="1"/>
    <col min="25" max="25" width="13.85546875" style="71" customWidth="1"/>
    <col min="26" max="26" width="23.5703125" style="71" bestFit="1" customWidth="1"/>
    <col min="27" max="27" width="23.5703125" style="1110" bestFit="1" customWidth="1"/>
    <col min="28" max="16384" width="9.140625" style="1110"/>
  </cols>
  <sheetData>
    <row r="1" spans="1:27" ht="57.75" thickBot="1" x14ac:dyDescent="0.4">
      <c r="A1" s="1130" t="s">
        <v>373</v>
      </c>
      <c r="B1" s="1131" t="s">
        <v>153</v>
      </c>
      <c r="C1" s="1132" t="s">
        <v>154</v>
      </c>
      <c r="D1" s="1132" t="s">
        <v>155</v>
      </c>
      <c r="E1" s="1132" t="s">
        <v>156</v>
      </c>
      <c r="F1" s="1132" t="s">
        <v>157</v>
      </c>
      <c r="G1" s="1132" t="s">
        <v>158</v>
      </c>
      <c r="H1" s="1132" t="s">
        <v>291</v>
      </c>
      <c r="I1" s="1132" t="s">
        <v>159</v>
      </c>
      <c r="J1" s="1132" t="s">
        <v>160</v>
      </c>
      <c r="K1" s="1132" t="s">
        <v>161</v>
      </c>
      <c r="L1" s="1132" t="s">
        <v>162</v>
      </c>
      <c r="M1" s="1132" t="s">
        <v>163</v>
      </c>
      <c r="N1" s="1132" t="s">
        <v>164</v>
      </c>
      <c r="O1" s="1132" t="s">
        <v>165</v>
      </c>
      <c r="P1" s="1133" t="s">
        <v>166</v>
      </c>
      <c r="Q1" s="1132" t="s">
        <v>167</v>
      </c>
      <c r="R1" s="1132" t="s">
        <v>168</v>
      </c>
      <c r="S1" s="1132" t="s">
        <v>169</v>
      </c>
      <c r="T1" s="1134" t="s">
        <v>170</v>
      </c>
      <c r="U1" s="1135" t="s">
        <v>171</v>
      </c>
      <c r="V1" s="1136" t="s">
        <v>172</v>
      </c>
      <c r="W1" s="1132" t="s">
        <v>173</v>
      </c>
      <c r="X1" s="1137" t="s">
        <v>174</v>
      </c>
      <c r="Y1" s="1138" t="s">
        <v>1</v>
      </c>
      <c r="Z1" s="1133" t="s">
        <v>175</v>
      </c>
      <c r="AA1" s="1139" t="s">
        <v>2</v>
      </c>
    </row>
    <row r="2" spans="1:27" s="1115" customFormat="1" ht="15" thickBot="1" x14ac:dyDescent="0.35">
      <c r="A2" s="406" t="s">
        <v>0</v>
      </c>
      <c r="B2" s="416" t="s">
        <v>406</v>
      </c>
      <c r="C2" s="416" t="s">
        <v>406</v>
      </c>
      <c r="D2" s="416" t="s">
        <v>406</v>
      </c>
      <c r="E2" s="416" t="s">
        <v>406</v>
      </c>
      <c r="F2" s="416" t="s">
        <v>406</v>
      </c>
      <c r="G2" s="416" t="s">
        <v>406</v>
      </c>
      <c r="H2" s="416" t="s">
        <v>406</v>
      </c>
      <c r="I2" s="416" t="s">
        <v>406</v>
      </c>
      <c r="J2" s="416" t="s">
        <v>406</v>
      </c>
      <c r="K2" s="416" t="s">
        <v>406</v>
      </c>
      <c r="L2" s="416" t="s">
        <v>406</v>
      </c>
      <c r="M2" s="416" t="s">
        <v>406</v>
      </c>
      <c r="N2" s="416" t="s">
        <v>406</v>
      </c>
      <c r="O2" s="416" t="s">
        <v>406</v>
      </c>
      <c r="P2" s="416" t="s">
        <v>406</v>
      </c>
      <c r="Q2" s="416" t="s">
        <v>406</v>
      </c>
      <c r="R2" s="416" t="s">
        <v>406</v>
      </c>
      <c r="S2" s="416" t="s">
        <v>406</v>
      </c>
      <c r="T2" s="416" t="s">
        <v>406</v>
      </c>
      <c r="U2" s="416" t="s">
        <v>406</v>
      </c>
      <c r="V2" s="416" t="s">
        <v>406</v>
      </c>
      <c r="W2" s="416" t="s">
        <v>406</v>
      </c>
      <c r="X2" s="416" t="s">
        <v>406</v>
      </c>
      <c r="Y2" s="416" t="s">
        <v>406</v>
      </c>
      <c r="Z2" s="416" t="s">
        <v>406</v>
      </c>
      <c r="AA2" s="416" t="s">
        <v>406</v>
      </c>
    </row>
    <row r="3" spans="1:27" ht="14.25" x14ac:dyDescent="0.3">
      <c r="A3" s="1083" t="s">
        <v>374</v>
      </c>
      <c r="B3" s="1140"/>
      <c r="C3" s="1140"/>
      <c r="D3" s="1140"/>
      <c r="E3" s="1140"/>
      <c r="F3" s="1140"/>
      <c r="G3" s="1140"/>
      <c r="H3" s="1140"/>
      <c r="I3" s="1140"/>
      <c r="J3" s="1140"/>
      <c r="K3" s="1140"/>
      <c r="L3" s="1140"/>
      <c r="M3" s="1140"/>
      <c r="N3" s="1140"/>
      <c r="O3" s="1140"/>
      <c r="P3" s="1140"/>
      <c r="Q3" s="1140"/>
      <c r="R3" s="1140"/>
      <c r="S3" s="1140"/>
      <c r="T3" s="1141"/>
      <c r="U3" s="1142"/>
      <c r="V3" s="277"/>
      <c r="W3" s="1140"/>
      <c r="X3" s="1143"/>
      <c r="Y3" s="1144"/>
      <c r="Z3" s="1140"/>
      <c r="AA3" s="1145"/>
    </row>
    <row r="4" spans="1:27" ht="13.5" x14ac:dyDescent="0.3">
      <c r="A4" s="1146" t="s">
        <v>375</v>
      </c>
      <c r="B4" s="1147"/>
      <c r="C4" s="1147"/>
      <c r="D4" s="1147" t="s">
        <v>249</v>
      </c>
      <c r="E4" s="1147"/>
      <c r="F4" s="1147"/>
      <c r="G4" s="1147"/>
      <c r="H4" s="1147"/>
      <c r="I4" s="1147"/>
      <c r="J4" s="1147"/>
      <c r="K4" s="1147"/>
      <c r="L4" s="1147"/>
      <c r="M4" s="1147"/>
      <c r="N4" s="1147"/>
      <c r="O4" s="1147"/>
      <c r="P4" s="1147"/>
      <c r="Q4" s="1147"/>
      <c r="R4" s="1147"/>
      <c r="S4" s="1147"/>
      <c r="T4" s="1148"/>
      <c r="U4" s="1149"/>
      <c r="V4" s="70"/>
      <c r="W4" s="1147"/>
      <c r="X4" s="1150"/>
      <c r="Y4" s="272"/>
      <c r="Z4" s="1147"/>
      <c r="AA4" s="1151"/>
    </row>
    <row r="5" spans="1:27" x14ac:dyDescent="0.25">
      <c r="A5" s="68" t="s">
        <v>376</v>
      </c>
      <c r="B5" s="1147"/>
      <c r="C5" s="1147"/>
      <c r="D5" s="1147"/>
      <c r="E5" s="1147"/>
      <c r="F5" s="1147"/>
      <c r="G5" s="1147"/>
      <c r="H5" s="1147"/>
      <c r="I5" s="1147"/>
      <c r="J5" s="1147"/>
      <c r="K5" s="1147"/>
      <c r="L5" s="1147"/>
      <c r="M5" s="1147"/>
      <c r="N5" s="1147"/>
      <c r="O5" s="1147"/>
      <c r="P5" s="1147"/>
      <c r="Q5" s="1147"/>
      <c r="R5" s="1147"/>
      <c r="S5" s="1147"/>
      <c r="T5" s="1148"/>
      <c r="U5" s="1149"/>
      <c r="V5" s="70"/>
      <c r="W5" s="1147"/>
      <c r="X5" s="1150"/>
      <c r="Y5" s="272"/>
      <c r="Z5" s="1147"/>
      <c r="AA5" s="1151"/>
    </row>
    <row r="6" spans="1:27" x14ac:dyDescent="0.25">
      <c r="A6" s="68" t="s">
        <v>377</v>
      </c>
      <c r="B6" s="1147"/>
      <c r="C6" s="1147"/>
      <c r="D6" s="1147"/>
      <c r="E6" s="1147"/>
      <c r="F6" s="1147"/>
      <c r="G6" s="1147"/>
      <c r="H6" s="1147"/>
      <c r="I6" s="1147"/>
      <c r="J6" s="1147"/>
      <c r="K6" s="1147"/>
      <c r="L6" s="1147"/>
      <c r="M6" s="1147"/>
      <c r="N6" s="1147"/>
      <c r="O6" s="1147"/>
      <c r="P6" s="1147"/>
      <c r="Q6" s="1147"/>
      <c r="R6" s="1147"/>
      <c r="S6" s="1147"/>
      <c r="T6" s="1148"/>
      <c r="U6" s="1149"/>
      <c r="V6" s="70"/>
      <c r="W6" s="1147"/>
      <c r="X6" s="1150"/>
      <c r="Y6" s="272">
        <f t="shared" ref="Y6:Y42" si="0">SUM(B6:X6)</f>
        <v>0</v>
      </c>
      <c r="Z6" s="1147"/>
      <c r="AA6" s="1147">
        <f>Y6+Z6</f>
        <v>0</v>
      </c>
    </row>
    <row r="7" spans="1:27" x14ac:dyDescent="0.25">
      <c r="A7" s="68" t="s">
        <v>378</v>
      </c>
      <c r="B7" s="1147"/>
      <c r="C7" s="1147"/>
      <c r="D7" s="1147"/>
      <c r="E7" s="1147"/>
      <c r="F7" s="1147"/>
      <c r="G7" s="1147"/>
      <c r="H7" s="1147"/>
      <c r="I7" s="1147"/>
      <c r="J7" s="1147"/>
      <c r="K7" s="1147"/>
      <c r="L7" s="1147"/>
      <c r="M7" s="1147"/>
      <c r="N7" s="1147"/>
      <c r="O7" s="1147">
        <v>107601</v>
      </c>
      <c r="P7" s="1147">
        <v>439818</v>
      </c>
      <c r="Q7" s="1147"/>
      <c r="R7" s="1147"/>
      <c r="S7" s="1147"/>
      <c r="T7" s="1148"/>
      <c r="U7" s="1149"/>
      <c r="V7" s="70"/>
      <c r="W7" s="1147"/>
      <c r="X7" s="1150"/>
      <c r="Y7" s="272">
        <f t="shared" si="0"/>
        <v>547419</v>
      </c>
      <c r="Z7" s="1147"/>
      <c r="AA7" s="1147">
        <f t="shared" ref="AA7:AA42" si="1">Y7+Z7</f>
        <v>547419</v>
      </c>
    </row>
    <row r="8" spans="1:27" x14ac:dyDescent="0.25">
      <c r="A8" s="68" t="s">
        <v>379</v>
      </c>
      <c r="B8" s="1147"/>
      <c r="C8" s="1147"/>
      <c r="D8" s="1147"/>
      <c r="E8" s="1147"/>
      <c r="F8" s="1147"/>
      <c r="G8" s="1147"/>
      <c r="H8" s="1147"/>
      <c r="I8" s="1147"/>
      <c r="J8" s="1147"/>
      <c r="K8" s="1147"/>
      <c r="L8" s="1147"/>
      <c r="M8" s="1147"/>
      <c r="N8" s="1147"/>
      <c r="O8" s="1147"/>
      <c r="P8" s="1147"/>
      <c r="Q8" s="1147"/>
      <c r="R8" s="1147"/>
      <c r="S8" s="1147"/>
      <c r="T8" s="1148"/>
      <c r="U8" s="1149"/>
      <c r="V8" s="70"/>
      <c r="W8" s="1147"/>
      <c r="X8" s="1150"/>
      <c r="Y8" s="272">
        <f t="shared" si="0"/>
        <v>0</v>
      </c>
      <c r="Z8" s="1147"/>
      <c r="AA8" s="1147">
        <f t="shared" si="1"/>
        <v>0</v>
      </c>
    </row>
    <row r="9" spans="1:27" x14ac:dyDescent="0.25">
      <c r="A9" s="68" t="s">
        <v>380</v>
      </c>
      <c r="B9" s="1147">
        <v>18648785</v>
      </c>
      <c r="C9" s="1147">
        <v>22033</v>
      </c>
      <c r="D9" s="1147"/>
      <c r="E9" s="1147">
        <v>4446173</v>
      </c>
      <c r="F9" s="1147">
        <v>211735</v>
      </c>
      <c r="G9" s="1147">
        <v>18080</v>
      </c>
      <c r="H9" s="1147">
        <v>485247</v>
      </c>
      <c r="I9" s="1147">
        <v>122916</v>
      </c>
      <c r="J9" s="1147">
        <v>4907774</v>
      </c>
      <c r="K9" s="1147">
        <v>205446</v>
      </c>
      <c r="L9" s="1147">
        <v>3246558</v>
      </c>
      <c r="M9" s="1147"/>
      <c r="N9" s="1147">
        <v>78947</v>
      </c>
      <c r="O9" s="1147"/>
      <c r="P9" s="1147">
        <v>499852</v>
      </c>
      <c r="Q9" s="1147">
        <v>4742433</v>
      </c>
      <c r="R9" s="1147">
        <v>659975</v>
      </c>
      <c r="S9" s="1147">
        <v>551058</v>
      </c>
      <c r="T9" s="1148"/>
      <c r="U9" s="1149">
        <v>896009</v>
      </c>
      <c r="V9" s="70">
        <v>513974</v>
      </c>
      <c r="W9" s="1147">
        <v>110708</v>
      </c>
      <c r="X9" s="1150">
        <v>4557632</v>
      </c>
      <c r="Y9" s="272">
        <f t="shared" si="0"/>
        <v>44925335</v>
      </c>
      <c r="Z9" s="1147"/>
      <c r="AA9" s="1147">
        <f t="shared" si="1"/>
        <v>44925335</v>
      </c>
    </row>
    <row r="10" spans="1:27" x14ac:dyDescent="0.25">
      <c r="A10" s="68" t="s">
        <v>381</v>
      </c>
      <c r="B10" s="1147"/>
      <c r="C10" s="1152"/>
      <c r="D10" s="1147"/>
      <c r="E10" s="1147"/>
      <c r="F10" s="1147"/>
      <c r="G10" s="1147"/>
      <c r="H10" s="1147"/>
      <c r="I10" s="1147">
        <v>3533</v>
      </c>
      <c r="J10" s="1147"/>
      <c r="K10" s="1147">
        <v>1375</v>
      </c>
      <c r="L10" s="1147"/>
      <c r="M10" s="1147"/>
      <c r="N10" s="1147"/>
      <c r="O10" s="1147"/>
      <c r="P10" s="1147"/>
      <c r="Q10" s="1147"/>
      <c r="R10" s="1147"/>
      <c r="S10" s="1147"/>
      <c r="T10" s="1148"/>
      <c r="U10" s="1149">
        <v>2344750</v>
      </c>
      <c r="V10" s="70"/>
      <c r="W10" s="1147"/>
      <c r="X10" s="1150"/>
      <c r="Y10" s="272">
        <f t="shared" si="0"/>
        <v>2349658</v>
      </c>
      <c r="Z10" s="1147"/>
      <c r="AA10" s="1147">
        <f t="shared" si="1"/>
        <v>2349658</v>
      </c>
    </row>
    <row r="11" spans="1:27" ht="13.5" x14ac:dyDescent="0.3">
      <c r="A11" s="1146" t="s">
        <v>382</v>
      </c>
      <c r="B11" s="1147"/>
      <c r="C11" s="1147">
        <v>674704</v>
      </c>
      <c r="D11" s="1147"/>
      <c r="E11" s="1147"/>
      <c r="F11" s="1147"/>
      <c r="G11" s="1147"/>
      <c r="H11" s="1147"/>
      <c r="I11" s="1147"/>
      <c r="J11" s="1147">
        <v>1342</v>
      </c>
      <c r="K11" s="1147"/>
      <c r="L11" s="1147"/>
      <c r="M11" s="1147"/>
      <c r="N11" s="1147"/>
      <c r="O11" s="1147"/>
      <c r="P11" s="1147"/>
      <c r="Q11" s="1147"/>
      <c r="R11" s="1147"/>
      <c r="S11" s="1147"/>
      <c r="T11" s="1148"/>
      <c r="U11" s="1149"/>
      <c r="V11" s="70"/>
      <c r="W11" s="1147"/>
      <c r="X11" s="1150"/>
      <c r="Y11" s="272">
        <f t="shared" si="0"/>
        <v>676046</v>
      </c>
      <c r="Z11" s="1147"/>
      <c r="AA11" s="1147">
        <f t="shared" si="1"/>
        <v>676046</v>
      </c>
    </row>
    <row r="12" spans="1:27" ht="13.5" x14ac:dyDescent="0.3">
      <c r="A12" s="1146" t="s">
        <v>383</v>
      </c>
      <c r="B12" s="1147"/>
      <c r="C12" s="1147"/>
      <c r="D12" s="1147"/>
      <c r="E12" s="1147"/>
      <c r="F12" s="1147"/>
      <c r="G12" s="1147"/>
      <c r="H12" s="1147"/>
      <c r="I12" s="1147">
        <v>-1162</v>
      </c>
      <c r="J12" s="1147"/>
      <c r="K12" s="1147"/>
      <c r="L12" s="1147"/>
      <c r="M12" s="1147"/>
      <c r="N12" s="1147"/>
      <c r="O12" s="1147"/>
      <c r="P12" s="1147"/>
      <c r="Q12" s="1147"/>
      <c r="R12" s="1147"/>
      <c r="S12" s="1147"/>
      <c r="T12" s="1148"/>
      <c r="U12" s="1149"/>
      <c r="V12" s="70"/>
      <c r="W12" s="1147"/>
      <c r="X12" s="1150"/>
      <c r="Y12" s="272">
        <f t="shared" si="0"/>
        <v>-1162</v>
      </c>
      <c r="Z12" s="1147"/>
      <c r="AA12" s="1147"/>
    </row>
    <row r="13" spans="1:27" ht="14.25" x14ac:dyDescent="0.3">
      <c r="A13" s="1092" t="s">
        <v>54</v>
      </c>
      <c r="B13" s="1147">
        <f>B9</f>
        <v>18648785</v>
      </c>
      <c r="C13" s="1152">
        <f>C9+C11</f>
        <v>696737</v>
      </c>
      <c r="D13" s="1147"/>
      <c r="E13" s="1147">
        <f>E9</f>
        <v>4446173</v>
      </c>
      <c r="F13" s="1147">
        <f>F9</f>
        <v>211735</v>
      </c>
      <c r="G13" s="1147">
        <f t="shared" ref="G13:P13" si="2">SUM(G5:G11)</f>
        <v>18080</v>
      </c>
      <c r="H13" s="1147">
        <f t="shared" si="2"/>
        <v>485247</v>
      </c>
      <c r="I13" s="1147">
        <v>125287</v>
      </c>
      <c r="J13" s="1147">
        <f t="shared" si="2"/>
        <v>4909116</v>
      </c>
      <c r="K13" s="1147">
        <f t="shared" si="2"/>
        <v>206821</v>
      </c>
      <c r="L13" s="1147">
        <f t="shared" si="2"/>
        <v>3246558</v>
      </c>
      <c r="M13" s="1147">
        <f t="shared" si="2"/>
        <v>0</v>
      </c>
      <c r="N13" s="1147">
        <f t="shared" si="2"/>
        <v>78947</v>
      </c>
      <c r="O13" s="1147">
        <f t="shared" si="2"/>
        <v>107601</v>
      </c>
      <c r="P13" s="1147">
        <f t="shared" si="2"/>
        <v>939670</v>
      </c>
      <c r="Q13" s="1147">
        <f>Q9</f>
        <v>4742433</v>
      </c>
      <c r="R13" s="1147">
        <f>R9</f>
        <v>659975</v>
      </c>
      <c r="S13" s="1147">
        <f>SUM(S5:S11)</f>
        <v>551058</v>
      </c>
      <c r="T13" s="1148"/>
      <c r="U13" s="1149">
        <f>SUM(U5:U11)</f>
        <v>3240759</v>
      </c>
      <c r="V13" s="70">
        <f>SUM(V5:V11)</f>
        <v>513974</v>
      </c>
      <c r="W13" s="1147">
        <f>SUM(W5:W11)</f>
        <v>110708</v>
      </c>
      <c r="X13" s="1150">
        <f>X9</f>
        <v>4557632</v>
      </c>
      <c r="Y13" s="272">
        <f t="shared" si="0"/>
        <v>48497296</v>
      </c>
      <c r="Z13" s="1147"/>
      <c r="AA13" s="1147">
        <f t="shared" si="1"/>
        <v>48497296</v>
      </c>
    </row>
    <row r="14" spans="1:27" ht="14.25" x14ac:dyDescent="0.3">
      <c r="A14" s="1092" t="s">
        <v>384</v>
      </c>
      <c r="B14" s="1147"/>
      <c r="C14" s="1147"/>
      <c r="D14" s="1147"/>
      <c r="E14" s="1147"/>
      <c r="F14" s="1147"/>
      <c r="G14" s="1147"/>
      <c r="H14" s="1147"/>
      <c r="I14" s="1147"/>
      <c r="J14" s="1147"/>
      <c r="K14" s="1147"/>
      <c r="L14" s="1147"/>
      <c r="M14" s="1147"/>
      <c r="N14" s="1147"/>
      <c r="O14" s="1147"/>
      <c r="P14" s="1147"/>
      <c r="Q14" s="1147"/>
      <c r="R14" s="1147"/>
      <c r="S14" s="1147"/>
      <c r="T14" s="1148"/>
      <c r="U14" s="1149"/>
      <c r="V14" s="70"/>
      <c r="W14" s="1147"/>
      <c r="X14" s="1150"/>
      <c r="Y14" s="272">
        <f t="shared" si="0"/>
        <v>0</v>
      </c>
      <c r="Z14" s="1147"/>
      <c r="AA14" s="1147">
        <f t="shared" si="1"/>
        <v>0</v>
      </c>
    </row>
    <row r="15" spans="1:27" x14ac:dyDescent="0.25">
      <c r="A15" s="68" t="s">
        <v>385</v>
      </c>
      <c r="B15" s="1147"/>
      <c r="C15" s="1147"/>
      <c r="D15" s="1147"/>
      <c r="E15" s="1147"/>
      <c r="F15" s="1147"/>
      <c r="G15" s="1147"/>
      <c r="H15" s="1147"/>
      <c r="I15" s="1147"/>
      <c r="J15" s="1147"/>
      <c r="K15" s="1147"/>
      <c r="L15" s="1147"/>
      <c r="M15" s="1147"/>
      <c r="N15" s="1147"/>
      <c r="O15" s="1147"/>
      <c r="P15" s="1147"/>
      <c r="Q15" s="1147"/>
      <c r="R15" s="1147"/>
      <c r="S15" s="1147"/>
      <c r="T15" s="1148"/>
      <c r="U15" s="1149"/>
      <c r="V15" s="70"/>
      <c r="W15" s="1147"/>
      <c r="X15" s="1150"/>
      <c r="Y15" s="272">
        <f t="shared" si="0"/>
        <v>0</v>
      </c>
      <c r="Z15" s="1147"/>
      <c r="AA15" s="1147">
        <f t="shared" si="1"/>
        <v>0</v>
      </c>
    </row>
    <row r="16" spans="1:27" x14ac:dyDescent="0.25">
      <c r="A16" s="68" t="s">
        <v>386</v>
      </c>
      <c r="B16" s="1147"/>
      <c r="C16" s="1152"/>
      <c r="D16" s="1147"/>
      <c r="E16" s="1147"/>
      <c r="F16" s="1147"/>
      <c r="G16" s="1147"/>
      <c r="H16" s="1147"/>
      <c r="I16" s="1147"/>
      <c r="J16" s="1147"/>
      <c r="K16" s="1147"/>
      <c r="L16" s="1147"/>
      <c r="M16" s="1147"/>
      <c r="N16" s="1147"/>
      <c r="O16" s="1147"/>
      <c r="P16" s="1147"/>
      <c r="Q16" s="1147"/>
      <c r="R16" s="1147"/>
      <c r="S16" s="1147"/>
      <c r="T16" s="1148"/>
      <c r="U16" s="1149">
        <v>2344750</v>
      </c>
      <c r="V16" s="70"/>
      <c r="W16" s="1147"/>
      <c r="X16" s="1150"/>
      <c r="Y16" s="272">
        <f t="shared" si="0"/>
        <v>2344750</v>
      </c>
      <c r="Z16" s="1147"/>
      <c r="AA16" s="1147">
        <f t="shared" si="1"/>
        <v>2344750</v>
      </c>
    </row>
    <row r="17" spans="1:27" x14ac:dyDescent="0.25">
      <c r="A17" s="68" t="s">
        <v>387</v>
      </c>
      <c r="B17" s="1147"/>
      <c r="C17" s="1147"/>
      <c r="D17" s="1147"/>
      <c r="E17" s="1147"/>
      <c r="F17" s="1147"/>
      <c r="G17" s="1147"/>
      <c r="H17" s="1147"/>
      <c r="I17" s="1147"/>
      <c r="J17" s="1147"/>
      <c r="K17" s="1147"/>
      <c r="L17" s="1147"/>
      <c r="M17" s="1147"/>
      <c r="N17" s="1147"/>
      <c r="O17" s="1147"/>
      <c r="P17" s="1147"/>
      <c r="Q17" s="1147"/>
      <c r="R17" s="1147"/>
      <c r="S17" s="1147"/>
      <c r="T17" s="1148"/>
      <c r="U17" s="1149"/>
      <c r="V17" s="70"/>
      <c r="W17" s="1147"/>
      <c r="X17" s="1150"/>
      <c r="Y17" s="272">
        <f t="shared" si="0"/>
        <v>0</v>
      </c>
      <c r="Z17" s="1147"/>
      <c r="AA17" s="1147">
        <f t="shared" si="1"/>
        <v>0</v>
      </c>
    </row>
    <row r="18" spans="1:27" x14ac:dyDescent="0.25">
      <c r="A18" s="68" t="s">
        <v>388</v>
      </c>
      <c r="B18" s="1147"/>
      <c r="C18" s="1147"/>
      <c r="D18" s="1147"/>
      <c r="E18" s="1147"/>
      <c r="F18" s="1147"/>
      <c r="G18" s="1147"/>
      <c r="H18" s="1147"/>
      <c r="I18" s="1147"/>
      <c r="J18" s="1147"/>
      <c r="K18" s="1147"/>
      <c r="L18" s="1147"/>
      <c r="M18" s="1147"/>
      <c r="N18" s="1147"/>
      <c r="O18" s="1147"/>
      <c r="P18" s="1147"/>
      <c r="Q18" s="1147"/>
      <c r="R18" s="1147"/>
      <c r="S18" s="1147"/>
      <c r="T18" s="1148"/>
      <c r="U18" s="1149"/>
      <c r="V18" s="70"/>
      <c r="W18" s="1147"/>
      <c r="X18" s="1150"/>
      <c r="Y18" s="272">
        <f t="shared" si="0"/>
        <v>0</v>
      </c>
      <c r="Z18" s="1147"/>
      <c r="AA18" s="1147">
        <f t="shared" si="1"/>
        <v>0</v>
      </c>
    </row>
    <row r="19" spans="1:27" x14ac:dyDescent="0.25">
      <c r="A19" s="68" t="s">
        <v>389</v>
      </c>
      <c r="B19" s="1147">
        <f>B9</f>
        <v>18648785</v>
      </c>
      <c r="C19" s="1147">
        <v>22033</v>
      </c>
      <c r="D19" s="1147"/>
      <c r="E19" s="1147">
        <f>E9</f>
        <v>4446173</v>
      </c>
      <c r="F19" s="1147">
        <f>F9</f>
        <v>211735</v>
      </c>
      <c r="G19" s="1147">
        <v>18080</v>
      </c>
      <c r="H19" s="1147">
        <v>485247</v>
      </c>
      <c r="I19" s="1147">
        <f>I9</f>
        <v>122916</v>
      </c>
      <c r="J19" s="1147">
        <v>4907774</v>
      </c>
      <c r="K19" s="1147">
        <v>205446</v>
      </c>
      <c r="L19" s="1147">
        <v>3246558</v>
      </c>
      <c r="M19" s="1147">
        <f>M13</f>
        <v>0</v>
      </c>
      <c r="N19" s="1147">
        <f>N13</f>
        <v>78947</v>
      </c>
      <c r="O19" s="1147">
        <f>O13</f>
        <v>107601</v>
      </c>
      <c r="P19" s="1147">
        <v>439818</v>
      </c>
      <c r="Q19" s="1147">
        <f>Q13</f>
        <v>4742433</v>
      </c>
      <c r="R19" s="1147">
        <f>R9</f>
        <v>659975</v>
      </c>
      <c r="S19" s="1147">
        <f>S13</f>
        <v>551058</v>
      </c>
      <c r="T19" s="1148"/>
      <c r="U19" s="1149">
        <v>896009</v>
      </c>
      <c r="V19" s="70">
        <v>513974</v>
      </c>
      <c r="W19" s="1147">
        <f>W13</f>
        <v>110708</v>
      </c>
      <c r="X19" s="1150">
        <f>X9</f>
        <v>4557632</v>
      </c>
      <c r="Y19" s="272">
        <f t="shared" si="0"/>
        <v>44972902</v>
      </c>
      <c r="Z19" s="1147"/>
      <c r="AA19" s="1147">
        <f t="shared" si="1"/>
        <v>44972902</v>
      </c>
    </row>
    <row r="20" spans="1:27" x14ac:dyDescent="0.25">
      <c r="A20" s="68" t="s">
        <v>390</v>
      </c>
      <c r="B20" s="1147"/>
      <c r="C20" s="1147">
        <v>674704</v>
      </c>
      <c r="D20" s="1147"/>
      <c r="E20" s="1147"/>
      <c r="F20" s="1147"/>
      <c r="G20" s="1147"/>
      <c r="H20" s="1147"/>
      <c r="I20" s="1147">
        <f>I10</f>
        <v>3533</v>
      </c>
      <c r="J20" s="1147">
        <v>1342</v>
      </c>
      <c r="K20" s="1147">
        <v>1375</v>
      </c>
      <c r="L20" s="1147"/>
      <c r="M20" s="1147"/>
      <c r="N20" s="1147"/>
      <c r="O20" s="1147"/>
      <c r="P20" s="1147">
        <v>499852</v>
      </c>
      <c r="Q20" s="1147"/>
      <c r="R20" s="1147"/>
      <c r="S20" s="1147"/>
      <c r="T20" s="1148"/>
      <c r="U20" s="1149"/>
      <c r="V20" s="70"/>
      <c r="W20" s="1147"/>
      <c r="X20" s="1150"/>
      <c r="Y20" s="272">
        <f t="shared" si="0"/>
        <v>1180806</v>
      </c>
      <c r="Z20" s="1147"/>
      <c r="AA20" s="1147">
        <f t="shared" si="1"/>
        <v>1180806</v>
      </c>
    </row>
    <row r="21" spans="1:27" ht="13.5" x14ac:dyDescent="0.3">
      <c r="A21" s="1146" t="s">
        <v>383</v>
      </c>
      <c r="B21" s="1147"/>
      <c r="C21" s="1147"/>
      <c r="D21" s="1147"/>
      <c r="E21" s="1147"/>
      <c r="F21" s="1147"/>
      <c r="G21" s="1147"/>
      <c r="H21" s="1147"/>
      <c r="I21" s="1147">
        <v>-1162</v>
      </c>
      <c r="J21" s="1147"/>
      <c r="K21" s="1147"/>
      <c r="L21" s="1147"/>
      <c r="M21" s="1147"/>
      <c r="N21" s="1147"/>
      <c r="O21" s="1147"/>
      <c r="P21" s="1147"/>
      <c r="Q21" s="1147"/>
      <c r="R21" s="1147"/>
      <c r="S21" s="1147"/>
      <c r="T21" s="1148"/>
      <c r="U21" s="1149"/>
      <c r="V21" s="70"/>
      <c r="W21" s="1147"/>
      <c r="X21" s="1150"/>
      <c r="Y21" s="272">
        <f t="shared" si="0"/>
        <v>-1162</v>
      </c>
      <c r="Z21" s="1147"/>
      <c r="AA21" s="1147"/>
    </row>
    <row r="22" spans="1:27" ht="14.25" x14ac:dyDescent="0.3">
      <c r="A22" s="1092" t="s">
        <v>54</v>
      </c>
      <c r="B22" s="1147">
        <f>B9</f>
        <v>18648785</v>
      </c>
      <c r="C22" s="1152">
        <f>C19+C20</f>
        <v>696737</v>
      </c>
      <c r="D22" s="1147"/>
      <c r="E22" s="1147">
        <f>E19</f>
        <v>4446173</v>
      </c>
      <c r="F22" s="1147">
        <f>F9</f>
        <v>211735</v>
      </c>
      <c r="G22" s="1147">
        <f>G9</f>
        <v>18080</v>
      </c>
      <c r="H22" s="1147">
        <f>H19</f>
        <v>485247</v>
      </c>
      <c r="I22" s="1147">
        <f>I13</f>
        <v>125287</v>
      </c>
      <c r="J22" s="1147">
        <f>J13</f>
        <v>4909116</v>
      </c>
      <c r="K22" s="1147">
        <f>K13</f>
        <v>206821</v>
      </c>
      <c r="L22" s="1147">
        <f>L13</f>
        <v>3246558</v>
      </c>
      <c r="M22" s="1147">
        <f>M13</f>
        <v>0</v>
      </c>
      <c r="N22" s="1147">
        <f>N19</f>
        <v>78947</v>
      </c>
      <c r="O22" s="1147">
        <f>O19</f>
        <v>107601</v>
      </c>
      <c r="P22" s="1147">
        <f>P13</f>
        <v>939670</v>
      </c>
      <c r="Q22" s="1147">
        <f>Q19</f>
        <v>4742433</v>
      </c>
      <c r="R22" s="1147">
        <f>R9</f>
        <v>659975</v>
      </c>
      <c r="S22" s="1147">
        <f>S19</f>
        <v>551058</v>
      </c>
      <c r="T22" s="1148"/>
      <c r="U22" s="1149">
        <f>U13</f>
        <v>3240759</v>
      </c>
      <c r="V22" s="70">
        <f>V9</f>
        <v>513974</v>
      </c>
      <c r="W22" s="1147">
        <f>W19</f>
        <v>110708</v>
      </c>
      <c r="X22" s="1150">
        <f>X9</f>
        <v>4557632</v>
      </c>
      <c r="Y22" s="272">
        <f t="shared" si="0"/>
        <v>48497296</v>
      </c>
      <c r="Z22" s="1147"/>
      <c r="AA22" s="1147">
        <f t="shared" si="1"/>
        <v>48497296</v>
      </c>
    </row>
    <row r="23" spans="1:27" ht="14.25" x14ac:dyDescent="0.3">
      <c r="A23" s="1092" t="s">
        <v>391</v>
      </c>
      <c r="B23" s="1147"/>
      <c r="C23" s="1147"/>
      <c r="D23" s="1147"/>
      <c r="E23" s="1147"/>
      <c r="F23" s="1147"/>
      <c r="G23" s="1147"/>
      <c r="H23" s="1147"/>
      <c r="I23" s="1147"/>
      <c r="J23" s="1147"/>
      <c r="K23" s="1147"/>
      <c r="L23" s="1147"/>
      <c r="M23" s="1147"/>
      <c r="N23" s="1147"/>
      <c r="O23" s="1147"/>
      <c r="P23" s="1147"/>
      <c r="Q23" s="1147"/>
      <c r="R23" s="1147"/>
      <c r="S23" s="1147"/>
      <c r="T23" s="1148"/>
      <c r="U23" s="1149"/>
      <c r="V23" s="70"/>
      <c r="W23" s="1147"/>
      <c r="X23" s="1150"/>
      <c r="Y23" s="272">
        <f t="shared" si="0"/>
        <v>0</v>
      </c>
      <c r="Z23" s="1147"/>
      <c r="AA23" s="1147">
        <f t="shared" si="1"/>
        <v>0</v>
      </c>
    </row>
    <row r="24" spans="1:27" x14ac:dyDescent="0.25">
      <c r="A24" s="68" t="s">
        <v>392</v>
      </c>
      <c r="B24" s="1147"/>
      <c r="C24" s="1147"/>
      <c r="D24" s="1147"/>
      <c r="E24" s="1147"/>
      <c r="F24" s="1147"/>
      <c r="G24" s="1147"/>
      <c r="H24" s="1147"/>
      <c r="I24" s="1147"/>
      <c r="J24" s="1147"/>
      <c r="K24" s="1147"/>
      <c r="L24" s="1147"/>
      <c r="M24" s="1147"/>
      <c r="N24" s="1147"/>
      <c r="O24" s="1147"/>
      <c r="P24" s="1147"/>
      <c r="Q24" s="1147"/>
      <c r="R24" s="1147"/>
      <c r="S24" s="1147"/>
      <c r="T24" s="1148"/>
      <c r="U24" s="1149"/>
      <c r="V24" s="70"/>
      <c r="W24" s="1147"/>
      <c r="X24" s="1150"/>
      <c r="Y24" s="272">
        <f t="shared" si="0"/>
        <v>0</v>
      </c>
      <c r="Z24" s="1147"/>
      <c r="AA24" s="1147">
        <f t="shared" si="1"/>
        <v>0</v>
      </c>
    </row>
    <row r="25" spans="1:27" x14ac:dyDescent="0.25">
      <c r="A25" s="68" t="s">
        <v>393</v>
      </c>
      <c r="B25" s="1147">
        <f>B9</f>
        <v>18648785</v>
      </c>
      <c r="C25" s="1152">
        <f>C22</f>
        <v>696737</v>
      </c>
      <c r="D25" s="1147"/>
      <c r="E25" s="1147">
        <f>E22</f>
        <v>4446173</v>
      </c>
      <c r="F25" s="1147">
        <f>F9</f>
        <v>211735</v>
      </c>
      <c r="G25" s="1147">
        <f>G9</f>
        <v>18080</v>
      </c>
      <c r="H25" s="1147">
        <f>H19</f>
        <v>485247</v>
      </c>
      <c r="I25" s="1147">
        <f>I22</f>
        <v>125287</v>
      </c>
      <c r="J25" s="1147">
        <f>J22</f>
        <v>4909116</v>
      </c>
      <c r="K25" s="1147">
        <f>K22</f>
        <v>206821</v>
      </c>
      <c r="L25" s="1147">
        <f t="shared" ref="L25:Q25" si="3">L22</f>
        <v>3246558</v>
      </c>
      <c r="M25" s="1147">
        <f t="shared" si="3"/>
        <v>0</v>
      </c>
      <c r="N25" s="1147">
        <f t="shared" si="3"/>
        <v>78947</v>
      </c>
      <c r="O25" s="1147">
        <f t="shared" si="3"/>
        <v>107601</v>
      </c>
      <c r="P25" s="1147">
        <f t="shared" si="3"/>
        <v>939670</v>
      </c>
      <c r="Q25" s="1147">
        <f t="shared" si="3"/>
        <v>4742433</v>
      </c>
      <c r="R25" s="1147">
        <f>R9</f>
        <v>659975</v>
      </c>
      <c r="S25" s="1147">
        <f>S22</f>
        <v>551058</v>
      </c>
      <c r="T25" s="1148"/>
      <c r="U25" s="1149">
        <f>U22</f>
        <v>3240759</v>
      </c>
      <c r="V25" s="70">
        <f>V9</f>
        <v>513974</v>
      </c>
      <c r="W25" s="1147">
        <f>W22</f>
        <v>110708</v>
      </c>
      <c r="X25" s="1150">
        <f>X9</f>
        <v>4557632</v>
      </c>
      <c r="Y25" s="272">
        <f t="shared" si="0"/>
        <v>48497296</v>
      </c>
      <c r="Z25" s="1147"/>
      <c r="AA25" s="1147">
        <f t="shared" si="1"/>
        <v>48497296</v>
      </c>
    </row>
    <row r="26" spans="1:27" x14ac:dyDescent="0.25">
      <c r="A26" s="68" t="s">
        <v>394</v>
      </c>
      <c r="B26" s="1147"/>
      <c r="C26" s="1147"/>
      <c r="D26" s="1147"/>
      <c r="E26" s="1147"/>
      <c r="F26" s="1147"/>
      <c r="G26" s="1147"/>
      <c r="H26" s="1147"/>
      <c r="I26" s="1147"/>
      <c r="J26" s="1147"/>
      <c r="K26" s="1147"/>
      <c r="L26" s="1147"/>
      <c r="M26" s="1147"/>
      <c r="N26" s="1147"/>
      <c r="O26" s="1147"/>
      <c r="P26" s="1147"/>
      <c r="Q26" s="1147"/>
      <c r="R26" s="1147"/>
      <c r="S26" s="1147"/>
      <c r="T26" s="1148"/>
      <c r="U26" s="1149"/>
      <c r="V26" s="70"/>
      <c r="W26" s="1147"/>
      <c r="X26" s="1150"/>
      <c r="Y26" s="272">
        <f t="shared" si="0"/>
        <v>0</v>
      </c>
      <c r="Z26" s="1147"/>
      <c r="AA26" s="1147">
        <f t="shared" si="1"/>
        <v>0</v>
      </c>
    </row>
    <row r="27" spans="1:27" ht="13.5" x14ac:dyDescent="0.3">
      <c r="A27" s="1146" t="s">
        <v>395</v>
      </c>
      <c r="B27" s="1147"/>
      <c r="C27" s="1147"/>
      <c r="D27" s="1147"/>
      <c r="E27" s="1147"/>
      <c r="F27" s="1147"/>
      <c r="G27" s="1147"/>
      <c r="H27" s="1147"/>
      <c r="I27" s="1147"/>
      <c r="J27" s="1147"/>
      <c r="K27" s="1147"/>
      <c r="L27" s="1147"/>
      <c r="M27" s="1147"/>
      <c r="N27" s="1147"/>
      <c r="O27" s="1147"/>
      <c r="P27" s="1147"/>
      <c r="Q27" s="1147"/>
      <c r="R27" s="1147"/>
      <c r="S27" s="1147"/>
      <c r="T27" s="1148"/>
      <c r="U27" s="1149"/>
      <c r="V27" s="70"/>
      <c r="W27" s="1147"/>
      <c r="X27" s="1150"/>
      <c r="Y27" s="272">
        <f t="shared" si="0"/>
        <v>0</v>
      </c>
      <c r="Z27" s="1147"/>
      <c r="AA27" s="1147"/>
    </row>
    <row r="28" spans="1:27" x14ac:dyDescent="0.25">
      <c r="A28" s="68" t="s">
        <v>396</v>
      </c>
      <c r="B28" s="1147"/>
      <c r="C28" s="1147"/>
      <c r="D28" s="1147"/>
      <c r="E28" s="1147"/>
      <c r="F28" s="1147"/>
      <c r="G28" s="1147"/>
      <c r="H28" s="1147"/>
      <c r="I28" s="1147"/>
      <c r="J28" s="1147"/>
      <c r="K28" s="1147"/>
      <c r="L28" s="1147"/>
      <c r="M28" s="1147"/>
      <c r="N28" s="1147"/>
      <c r="O28" s="1147"/>
      <c r="P28" s="1147"/>
      <c r="Q28" s="1147"/>
      <c r="R28" s="1147"/>
      <c r="S28" s="1147"/>
      <c r="T28" s="1148"/>
      <c r="U28" s="1149"/>
      <c r="V28" s="70"/>
      <c r="W28" s="1147"/>
      <c r="X28" s="1150"/>
      <c r="Y28" s="272">
        <f t="shared" si="0"/>
        <v>0</v>
      </c>
      <c r="Z28" s="1147"/>
      <c r="AA28" s="1147">
        <f t="shared" si="1"/>
        <v>0</v>
      </c>
    </row>
    <row r="29" spans="1:27" x14ac:dyDescent="0.25">
      <c r="A29" s="68" t="s">
        <v>393</v>
      </c>
      <c r="B29" s="1147"/>
      <c r="C29" s="1147"/>
      <c r="D29" s="1147"/>
      <c r="E29" s="1147"/>
      <c r="F29" s="1147"/>
      <c r="G29" s="1147"/>
      <c r="H29" s="1147"/>
      <c r="I29" s="1147"/>
      <c r="J29" s="1147"/>
      <c r="K29" s="1147"/>
      <c r="L29" s="1147"/>
      <c r="M29" s="1147"/>
      <c r="N29" s="1147"/>
      <c r="O29" s="1147"/>
      <c r="P29" s="1147"/>
      <c r="Q29" s="1147"/>
      <c r="R29" s="1147"/>
      <c r="S29" s="1147"/>
      <c r="T29" s="1148"/>
      <c r="U29" s="1149"/>
      <c r="V29" s="70"/>
      <c r="W29" s="1147"/>
      <c r="X29" s="1150"/>
      <c r="Y29" s="272">
        <f t="shared" si="0"/>
        <v>0</v>
      </c>
      <c r="Z29" s="1147"/>
      <c r="AA29" s="1147">
        <f t="shared" si="1"/>
        <v>0</v>
      </c>
    </row>
    <row r="30" spans="1:27" x14ac:dyDescent="0.25">
      <c r="A30" s="68" t="s">
        <v>397</v>
      </c>
      <c r="B30" s="1147"/>
      <c r="C30" s="1147"/>
      <c r="D30" s="1147"/>
      <c r="E30" s="1147"/>
      <c r="F30" s="1147"/>
      <c r="G30" s="1147"/>
      <c r="H30" s="1147"/>
      <c r="I30" s="1147"/>
      <c r="J30" s="1147"/>
      <c r="K30" s="1147"/>
      <c r="L30" s="1147"/>
      <c r="M30" s="1147"/>
      <c r="N30" s="1147"/>
      <c r="O30" s="1147"/>
      <c r="P30" s="1147"/>
      <c r="Q30" s="1147"/>
      <c r="R30" s="1147"/>
      <c r="S30" s="1147"/>
      <c r="T30" s="1148"/>
      <c r="U30" s="1149"/>
      <c r="V30" s="70"/>
      <c r="W30" s="1147"/>
      <c r="X30" s="1150"/>
      <c r="Y30" s="272">
        <f t="shared" si="0"/>
        <v>0</v>
      </c>
      <c r="Z30" s="1147"/>
      <c r="AA30" s="1147">
        <f t="shared" si="1"/>
        <v>0</v>
      </c>
    </row>
    <row r="31" spans="1:27" ht="13.5" x14ac:dyDescent="0.3">
      <c r="A31" s="1146" t="s">
        <v>398</v>
      </c>
      <c r="B31" s="1147"/>
      <c r="C31" s="1147"/>
      <c r="D31" s="1147"/>
      <c r="E31" s="1147"/>
      <c r="F31" s="1147"/>
      <c r="G31" s="1147"/>
      <c r="H31" s="1147"/>
      <c r="I31" s="1147"/>
      <c r="J31" s="1147"/>
      <c r="K31" s="1147"/>
      <c r="L31" s="1147"/>
      <c r="M31" s="1147"/>
      <c r="N31" s="1147"/>
      <c r="O31" s="1147"/>
      <c r="P31" s="1147"/>
      <c r="Q31" s="1147"/>
      <c r="R31" s="1147"/>
      <c r="S31" s="1147"/>
      <c r="T31" s="1148"/>
      <c r="U31" s="1149"/>
      <c r="V31" s="70"/>
      <c r="W31" s="1147"/>
      <c r="X31" s="1150"/>
      <c r="Y31" s="272">
        <f t="shared" si="0"/>
        <v>0</v>
      </c>
      <c r="Z31" s="1147"/>
      <c r="AA31" s="1147"/>
    </row>
    <row r="32" spans="1:27" ht="14.25" x14ac:dyDescent="0.3">
      <c r="A32" s="1092" t="s">
        <v>54</v>
      </c>
      <c r="B32" s="1147">
        <f>B25</f>
        <v>18648785</v>
      </c>
      <c r="C32" s="1152">
        <f>C25</f>
        <v>696737</v>
      </c>
      <c r="D32" s="1147"/>
      <c r="E32" s="1147">
        <f>E25</f>
        <v>4446173</v>
      </c>
      <c r="F32" s="1147">
        <f>F9</f>
        <v>211735</v>
      </c>
      <c r="G32" s="1147">
        <f>G9</f>
        <v>18080</v>
      </c>
      <c r="H32" s="1147">
        <f>H25</f>
        <v>485247</v>
      </c>
      <c r="I32" s="1147">
        <f>I25</f>
        <v>125287</v>
      </c>
      <c r="J32" s="1147">
        <f>J25</f>
        <v>4909116</v>
      </c>
      <c r="K32" s="1147">
        <f>K22</f>
        <v>206821</v>
      </c>
      <c r="L32" s="1147">
        <f t="shared" ref="L32:Q32" si="4">L25</f>
        <v>3246558</v>
      </c>
      <c r="M32" s="1147">
        <f t="shared" si="4"/>
        <v>0</v>
      </c>
      <c r="N32" s="1147">
        <f t="shared" si="4"/>
        <v>78947</v>
      </c>
      <c r="O32" s="1147">
        <f t="shared" si="4"/>
        <v>107601</v>
      </c>
      <c r="P32" s="1147">
        <f t="shared" si="4"/>
        <v>939670</v>
      </c>
      <c r="Q32" s="1147">
        <f t="shared" si="4"/>
        <v>4742433</v>
      </c>
      <c r="R32" s="1147">
        <f>R9</f>
        <v>659975</v>
      </c>
      <c r="S32" s="1147">
        <f>S25</f>
        <v>551058</v>
      </c>
      <c r="T32" s="1148"/>
      <c r="U32" s="1149">
        <f>U25</f>
        <v>3240759</v>
      </c>
      <c r="V32" s="70">
        <f>V9</f>
        <v>513974</v>
      </c>
      <c r="W32" s="1147">
        <f>W25</f>
        <v>110708</v>
      </c>
      <c r="X32" s="1150">
        <f>X9</f>
        <v>4557632</v>
      </c>
      <c r="Y32" s="272">
        <f t="shared" si="0"/>
        <v>48497296</v>
      </c>
      <c r="Z32" s="1147"/>
      <c r="AA32" s="1147">
        <f t="shared" si="1"/>
        <v>48497296</v>
      </c>
    </row>
    <row r="33" spans="1:27" ht="14.25" x14ac:dyDescent="0.3">
      <c r="A33" s="1092" t="s">
        <v>399</v>
      </c>
      <c r="B33" s="1147"/>
      <c r="C33" s="1147"/>
      <c r="D33" s="1147"/>
      <c r="E33" s="1147"/>
      <c r="F33" s="1147"/>
      <c r="G33" s="1147"/>
      <c r="H33" s="1147"/>
      <c r="I33" s="1147"/>
      <c r="J33" s="1147"/>
      <c r="K33" s="1147"/>
      <c r="L33" s="1147"/>
      <c r="M33" s="1147"/>
      <c r="N33" s="1147"/>
      <c r="O33" s="1147"/>
      <c r="P33" s="1147"/>
      <c r="Q33" s="1147"/>
      <c r="R33" s="1147"/>
      <c r="S33" s="1147"/>
      <c r="T33" s="1148"/>
      <c r="U33" s="1149"/>
      <c r="V33" s="70"/>
      <c r="W33" s="1147"/>
      <c r="X33" s="1150"/>
      <c r="Y33" s="272">
        <f t="shared" si="0"/>
        <v>0</v>
      </c>
      <c r="Z33" s="1147"/>
      <c r="AA33" s="1147">
        <f t="shared" si="1"/>
        <v>0</v>
      </c>
    </row>
    <row r="34" spans="1:27" x14ac:dyDescent="0.25">
      <c r="A34" s="68" t="s">
        <v>400</v>
      </c>
      <c r="B34" s="1147">
        <v>55937</v>
      </c>
      <c r="C34" s="1147"/>
      <c r="D34" s="1147"/>
      <c r="E34" s="1147">
        <v>409749</v>
      </c>
      <c r="F34" s="1147"/>
      <c r="G34" s="1147"/>
      <c r="H34" s="1147">
        <v>8816</v>
      </c>
      <c r="I34" s="1147"/>
      <c r="J34" s="1147">
        <v>324193</v>
      </c>
      <c r="K34" s="1147">
        <v>1375</v>
      </c>
      <c r="L34" s="1147">
        <v>1166619</v>
      </c>
      <c r="M34" s="1147"/>
      <c r="N34" s="1147"/>
      <c r="O34" s="1147">
        <v>2975</v>
      </c>
      <c r="P34" s="1147">
        <v>73068</v>
      </c>
      <c r="Q34" s="1147">
        <v>73823</v>
      </c>
      <c r="R34" s="1147">
        <v>31837</v>
      </c>
      <c r="S34" s="1147">
        <v>52659</v>
      </c>
      <c r="T34" s="1148"/>
      <c r="U34" s="1149">
        <v>102646</v>
      </c>
      <c r="V34" s="70">
        <v>10019</v>
      </c>
      <c r="W34" s="1147">
        <v>7055</v>
      </c>
      <c r="X34" s="1150"/>
      <c r="Y34" s="272">
        <f t="shared" si="0"/>
        <v>2320771</v>
      </c>
      <c r="Z34" s="1147"/>
      <c r="AA34" s="1147"/>
    </row>
    <row r="35" spans="1:27" x14ac:dyDescent="0.25">
      <c r="A35" s="68" t="s">
        <v>401</v>
      </c>
      <c r="B35" s="1153"/>
      <c r="C35" s="1153">
        <v>0</v>
      </c>
      <c r="D35" s="1153">
        <v>0</v>
      </c>
      <c r="E35" s="1153"/>
      <c r="F35" s="1153">
        <v>0</v>
      </c>
      <c r="G35" s="1153">
        <v>0</v>
      </c>
      <c r="H35" s="1153">
        <v>0</v>
      </c>
      <c r="I35" s="1153">
        <v>0</v>
      </c>
      <c r="J35" s="1153"/>
      <c r="K35" s="1153">
        <v>0</v>
      </c>
      <c r="L35" s="1153"/>
      <c r="M35" s="1153"/>
      <c r="N35" s="1153">
        <v>0</v>
      </c>
      <c r="O35" s="1153">
        <v>0</v>
      </c>
      <c r="P35" s="1153"/>
      <c r="Q35" s="1153"/>
      <c r="R35" s="1153"/>
      <c r="S35" s="1153"/>
      <c r="T35" s="1153">
        <v>0</v>
      </c>
      <c r="U35" s="1153"/>
      <c r="V35" s="1153"/>
      <c r="W35" s="1153">
        <v>0</v>
      </c>
      <c r="X35" s="1154">
        <v>0</v>
      </c>
      <c r="Y35" s="272">
        <f t="shared" si="0"/>
        <v>0</v>
      </c>
      <c r="Z35" s="1153"/>
      <c r="AA35" s="1147"/>
    </row>
    <row r="36" spans="1:27" x14ac:dyDescent="0.25">
      <c r="A36" s="68" t="s">
        <v>402</v>
      </c>
      <c r="B36" s="1153"/>
      <c r="C36" s="1153"/>
      <c r="D36" s="1153"/>
      <c r="E36" s="1153"/>
      <c r="F36" s="1153"/>
      <c r="G36" s="1153"/>
      <c r="H36" s="1153"/>
      <c r="I36" s="1153"/>
      <c r="J36" s="1153"/>
      <c r="K36" s="1153"/>
      <c r="L36" s="1153"/>
      <c r="M36" s="1153"/>
      <c r="N36" s="1153"/>
      <c r="O36" s="1153"/>
      <c r="P36" s="1153"/>
      <c r="Q36" s="1153"/>
      <c r="R36" s="1153"/>
      <c r="S36" s="1153"/>
      <c r="T36" s="1155"/>
      <c r="U36" s="1156"/>
      <c r="V36" s="1157"/>
      <c r="W36" s="1153"/>
      <c r="X36" s="1154"/>
      <c r="Y36" s="272">
        <f t="shared" si="0"/>
        <v>0</v>
      </c>
      <c r="Z36" s="1153"/>
      <c r="AA36" s="1147"/>
    </row>
    <row r="37" spans="1:27" x14ac:dyDescent="0.25">
      <c r="A37" s="188" t="s">
        <v>403</v>
      </c>
      <c r="B37" s="1153"/>
      <c r="C37" s="1153"/>
      <c r="D37" s="1153"/>
      <c r="E37" s="1153"/>
      <c r="F37" s="1153"/>
      <c r="G37" s="1153"/>
      <c r="H37" s="1153"/>
      <c r="I37" s="1153"/>
      <c r="J37" s="1153"/>
      <c r="K37" s="1153"/>
      <c r="L37" s="1153"/>
      <c r="M37" s="1153"/>
      <c r="N37" s="1153"/>
      <c r="O37" s="1153"/>
      <c r="P37" s="1153"/>
      <c r="Q37" s="1153"/>
      <c r="R37" s="1153"/>
      <c r="S37" s="1153"/>
      <c r="T37" s="1155"/>
      <c r="U37" s="1156"/>
      <c r="V37" s="1157"/>
      <c r="W37" s="1153"/>
      <c r="X37" s="1154"/>
      <c r="Y37" s="272">
        <f t="shared" si="0"/>
        <v>0</v>
      </c>
      <c r="Z37" s="1153"/>
      <c r="AA37" s="1147"/>
    </row>
    <row r="38" spans="1:27" x14ac:dyDescent="0.25">
      <c r="A38" s="188" t="s">
        <v>404</v>
      </c>
      <c r="B38" s="1153">
        <v>1808938</v>
      </c>
      <c r="C38" s="1158">
        <v>696737</v>
      </c>
      <c r="D38" s="1153"/>
      <c r="E38" s="1153">
        <v>4036424</v>
      </c>
      <c r="F38" s="1153">
        <v>211735</v>
      </c>
      <c r="G38" s="1153">
        <v>18080</v>
      </c>
      <c r="H38" s="1153">
        <v>476431</v>
      </c>
      <c r="I38" s="1153"/>
      <c r="J38" s="1153">
        <v>4584923</v>
      </c>
      <c r="K38" s="1153">
        <v>205446</v>
      </c>
      <c r="L38" s="1153">
        <v>2079939</v>
      </c>
      <c r="M38" s="1153"/>
      <c r="N38" s="1153">
        <v>78947</v>
      </c>
      <c r="O38" s="1153">
        <v>104626</v>
      </c>
      <c r="P38" s="1153">
        <v>866602</v>
      </c>
      <c r="Q38" s="1153">
        <v>4668610</v>
      </c>
      <c r="R38" s="1153">
        <v>628138</v>
      </c>
      <c r="S38" s="1153">
        <v>498399</v>
      </c>
      <c r="T38" s="1155"/>
      <c r="U38" s="1156">
        <v>3138113</v>
      </c>
      <c r="V38" s="1157">
        <v>503955</v>
      </c>
      <c r="W38" s="1153">
        <v>103653</v>
      </c>
      <c r="X38" s="1154">
        <f>X32</f>
        <v>4557632</v>
      </c>
      <c r="Y38" s="272">
        <f t="shared" si="0"/>
        <v>29267328</v>
      </c>
      <c r="Z38" s="1153"/>
      <c r="AA38" s="1147"/>
    </row>
    <row r="39" spans="1:27" x14ac:dyDescent="0.25">
      <c r="A39" s="68" t="s">
        <v>401</v>
      </c>
      <c r="B39" s="944"/>
      <c r="C39" s="944"/>
      <c r="D39" s="944">
        <v>0</v>
      </c>
      <c r="E39" s="944"/>
      <c r="F39" s="944"/>
      <c r="G39" s="944"/>
      <c r="H39" s="944"/>
      <c r="I39" s="944"/>
      <c r="J39" s="944"/>
      <c r="K39" s="944"/>
      <c r="L39" s="944"/>
      <c r="M39" s="944"/>
      <c r="N39" s="944"/>
      <c r="O39" s="944"/>
      <c r="P39" s="944"/>
      <c r="Q39" s="944"/>
      <c r="R39" s="944"/>
      <c r="S39" s="944"/>
      <c r="T39" s="944">
        <v>0</v>
      </c>
      <c r="U39" s="944"/>
      <c r="V39" s="944"/>
      <c r="W39" s="944"/>
      <c r="X39" s="109"/>
      <c r="Y39" s="272">
        <f t="shared" si="0"/>
        <v>0</v>
      </c>
      <c r="Z39" s="944"/>
      <c r="AA39" s="1147"/>
    </row>
    <row r="40" spans="1:27" x14ac:dyDescent="0.25">
      <c r="A40" s="68" t="s">
        <v>402</v>
      </c>
      <c r="B40" s="944"/>
      <c r="C40" s="1159"/>
      <c r="D40" s="944"/>
      <c r="E40" s="944"/>
      <c r="F40" s="944"/>
      <c r="G40" s="944"/>
      <c r="H40" s="944"/>
      <c r="I40" s="944"/>
      <c r="J40" s="944"/>
      <c r="K40" s="944"/>
      <c r="L40" s="944"/>
      <c r="M40" s="944"/>
      <c r="N40" s="944"/>
      <c r="O40" s="944"/>
      <c r="P40" s="944"/>
      <c r="Q40" s="944"/>
      <c r="R40" s="944"/>
      <c r="S40" s="944"/>
      <c r="T40" s="1160"/>
      <c r="U40" s="1161"/>
      <c r="V40" s="269"/>
      <c r="W40" s="944"/>
      <c r="X40" s="109"/>
      <c r="Y40" s="272">
        <f t="shared" si="0"/>
        <v>0</v>
      </c>
      <c r="Z40" s="944"/>
      <c r="AA40" s="1147"/>
    </row>
    <row r="41" spans="1:27" ht="13.5" thickBot="1" x14ac:dyDescent="0.3">
      <c r="A41" s="188" t="s">
        <v>405</v>
      </c>
      <c r="B41" s="944"/>
      <c r="C41" s="1159"/>
      <c r="D41" s="944"/>
      <c r="E41" s="944"/>
      <c r="F41" s="944"/>
      <c r="G41" s="944"/>
      <c r="H41" s="944"/>
      <c r="I41" s="944"/>
      <c r="J41" s="944"/>
      <c r="K41" s="944"/>
      <c r="L41" s="944"/>
      <c r="M41" s="944"/>
      <c r="N41" s="944"/>
      <c r="O41" s="944"/>
      <c r="P41" s="944"/>
      <c r="Q41" s="944"/>
      <c r="R41" s="944"/>
      <c r="S41" s="944"/>
      <c r="T41" s="1160"/>
      <c r="U41" s="1161"/>
      <c r="V41" s="269"/>
      <c r="W41" s="944"/>
      <c r="X41" s="109"/>
      <c r="Y41" s="272">
        <f t="shared" si="0"/>
        <v>0</v>
      </c>
      <c r="Z41" s="944"/>
      <c r="AA41" s="1147"/>
    </row>
    <row r="42" spans="1:27" s="1115" customFormat="1" ht="15" thickBot="1" x14ac:dyDescent="0.35">
      <c r="A42" s="406" t="s">
        <v>54</v>
      </c>
      <c r="B42" s="1162">
        <f>B32</f>
        <v>18648785</v>
      </c>
      <c r="C42" s="1164">
        <f>C32</f>
        <v>696737</v>
      </c>
      <c r="D42" s="1162">
        <f>D35+D39</f>
        <v>0</v>
      </c>
      <c r="E42" s="1162">
        <f t="shared" ref="E42:L42" si="5">E32</f>
        <v>4446173</v>
      </c>
      <c r="F42" s="1162">
        <f t="shared" si="5"/>
        <v>211735</v>
      </c>
      <c r="G42" s="1162">
        <f t="shared" si="5"/>
        <v>18080</v>
      </c>
      <c r="H42" s="1162">
        <f t="shared" si="5"/>
        <v>485247</v>
      </c>
      <c r="I42" s="1162">
        <f t="shared" si="5"/>
        <v>125287</v>
      </c>
      <c r="J42" s="1162">
        <f t="shared" si="5"/>
        <v>4909116</v>
      </c>
      <c r="K42" s="1162">
        <f t="shared" si="5"/>
        <v>206821</v>
      </c>
      <c r="L42" s="1162">
        <f t="shared" si="5"/>
        <v>3246558</v>
      </c>
      <c r="M42" s="1162">
        <f>M35+M39</f>
        <v>0</v>
      </c>
      <c r="N42" s="1162">
        <f t="shared" ref="N42:S42" si="6">N32</f>
        <v>78947</v>
      </c>
      <c r="O42" s="1162">
        <f t="shared" si="6"/>
        <v>107601</v>
      </c>
      <c r="P42" s="1162">
        <f t="shared" si="6"/>
        <v>939670</v>
      </c>
      <c r="Q42" s="1162">
        <f t="shared" si="6"/>
        <v>4742433</v>
      </c>
      <c r="R42" s="1162">
        <f t="shared" si="6"/>
        <v>659975</v>
      </c>
      <c r="S42" s="1162">
        <f t="shared" si="6"/>
        <v>551058</v>
      </c>
      <c r="T42" s="1162">
        <f>T35+T39</f>
        <v>0</v>
      </c>
      <c r="U42" s="1162">
        <f>U32</f>
        <v>3240759</v>
      </c>
      <c r="V42" s="1162">
        <f>V32</f>
        <v>513974</v>
      </c>
      <c r="W42" s="1162">
        <f>W32</f>
        <v>110708</v>
      </c>
      <c r="X42" s="1162">
        <f>X32</f>
        <v>4557632</v>
      </c>
      <c r="Y42" s="272">
        <f t="shared" si="0"/>
        <v>48497296</v>
      </c>
      <c r="Z42" s="1162"/>
      <c r="AA42" s="1147">
        <f t="shared" si="1"/>
        <v>48497296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workbookViewId="0">
      <pane xSplit="1" topLeftCell="B1" activePane="topRight" state="frozen"/>
      <selection pane="topRight" sqref="A1:IV65536"/>
    </sheetView>
  </sheetViews>
  <sheetFormatPr defaultRowHeight="16.5" x14ac:dyDescent="0.3"/>
  <cols>
    <col min="1" max="1" width="51.28515625" style="67" bestFit="1" customWidth="1"/>
    <col min="2" max="2" width="10.42578125" style="67" bestFit="1" customWidth="1"/>
    <col min="3" max="3" width="13.85546875" style="67" bestFit="1" customWidth="1"/>
    <col min="4" max="4" width="10.7109375" style="67" bestFit="1" customWidth="1"/>
    <col min="5" max="5" width="10.5703125" style="67" bestFit="1" customWidth="1"/>
    <col min="6" max="6" width="10.42578125" style="67" bestFit="1" customWidth="1"/>
    <col min="7" max="7" width="13.85546875" style="67" bestFit="1" customWidth="1"/>
    <col min="8" max="8" width="12.140625" style="67" bestFit="1" customWidth="1"/>
    <col min="9" max="10" width="10.42578125" style="67" bestFit="1" customWidth="1"/>
    <col min="11" max="11" width="12.140625" style="67" bestFit="1" customWidth="1"/>
    <col min="12" max="12" width="10.42578125" style="67" bestFit="1" customWidth="1"/>
    <col min="13" max="13" width="12.140625" style="67" bestFit="1" customWidth="1"/>
    <col min="14" max="15" width="10.42578125" style="67" bestFit="1" customWidth="1"/>
    <col min="16" max="16" width="11.7109375" style="67" bestFit="1" customWidth="1"/>
    <col min="17" max="17" width="10.42578125" style="67" bestFit="1" customWidth="1"/>
    <col min="18" max="18" width="11" style="67" bestFit="1" customWidth="1"/>
    <col min="19" max="22" width="10.42578125" style="67" bestFit="1" customWidth="1"/>
    <col min="23" max="23" width="10.7109375" style="67" bestFit="1" customWidth="1"/>
    <col min="24" max="24" width="10.42578125" style="67" bestFit="1" customWidth="1"/>
    <col min="25" max="25" width="11.5703125" style="67" bestFit="1" customWidth="1"/>
    <col min="26" max="26" width="12.140625" style="67" bestFit="1" customWidth="1"/>
    <col min="27" max="27" width="11.5703125" style="67" bestFit="1" customWidth="1"/>
    <col min="28" max="16384" width="9.140625" style="67"/>
  </cols>
  <sheetData>
    <row r="1" spans="1:27" ht="17.25" thickBot="1" x14ac:dyDescent="0.35">
      <c r="A1" s="1111" t="s">
        <v>372</v>
      </c>
    </row>
    <row r="2" spans="1:27" s="1114" customFormat="1" ht="75" customHeight="1" thickBot="1" x14ac:dyDescent="0.3">
      <c r="A2" s="1272" t="s">
        <v>0</v>
      </c>
      <c r="B2" s="1112" t="s">
        <v>153</v>
      </c>
      <c r="C2" s="941" t="s">
        <v>154</v>
      </c>
      <c r="D2" s="941" t="s">
        <v>155</v>
      </c>
      <c r="E2" s="941" t="s">
        <v>156</v>
      </c>
      <c r="F2" s="941" t="s">
        <v>157</v>
      </c>
      <c r="G2" s="941" t="s">
        <v>158</v>
      </c>
      <c r="H2" s="943" t="s">
        <v>291</v>
      </c>
      <c r="I2" s="941" t="s">
        <v>159</v>
      </c>
      <c r="J2" s="941" t="s">
        <v>160</v>
      </c>
      <c r="K2" s="941" t="s">
        <v>161</v>
      </c>
      <c r="L2" s="941" t="s">
        <v>162</v>
      </c>
      <c r="M2" s="941" t="s">
        <v>163</v>
      </c>
      <c r="N2" s="941" t="s">
        <v>164</v>
      </c>
      <c r="O2" s="941" t="s">
        <v>165</v>
      </c>
      <c r="P2" s="941" t="s">
        <v>166</v>
      </c>
      <c r="Q2" s="941" t="s">
        <v>167</v>
      </c>
      <c r="R2" s="941" t="s">
        <v>168</v>
      </c>
      <c r="S2" s="941" t="s">
        <v>169</v>
      </c>
      <c r="T2" s="941" t="s">
        <v>170</v>
      </c>
      <c r="U2" s="941" t="s">
        <v>171</v>
      </c>
      <c r="V2" s="941" t="s">
        <v>172</v>
      </c>
      <c r="W2" s="941" t="s">
        <v>173</v>
      </c>
      <c r="X2" s="941" t="s">
        <v>174</v>
      </c>
      <c r="Y2" s="1113" t="s">
        <v>1</v>
      </c>
      <c r="Z2" s="942" t="s">
        <v>175</v>
      </c>
      <c r="AA2" s="1113" t="s">
        <v>2</v>
      </c>
    </row>
    <row r="3" spans="1:27" s="1115" customFormat="1" ht="30.75" customHeight="1" thickBot="1" x14ac:dyDescent="0.3">
      <c r="A3" s="1273"/>
      <c r="B3" s="447" t="s">
        <v>296</v>
      </c>
      <c r="C3" s="447" t="s">
        <v>296</v>
      </c>
      <c r="D3" s="447" t="s">
        <v>296</v>
      </c>
      <c r="E3" s="447" t="s">
        <v>296</v>
      </c>
      <c r="F3" s="447" t="s">
        <v>296</v>
      </c>
      <c r="G3" s="447" t="s">
        <v>296</v>
      </c>
      <c r="H3" s="447" t="s">
        <v>296</v>
      </c>
      <c r="I3" s="447" t="s">
        <v>296</v>
      </c>
      <c r="J3" s="447" t="s">
        <v>296</v>
      </c>
      <c r="K3" s="447" t="s">
        <v>296</v>
      </c>
      <c r="L3" s="447" t="s">
        <v>296</v>
      </c>
      <c r="M3" s="447" t="s">
        <v>296</v>
      </c>
      <c r="N3" s="447" t="s">
        <v>296</v>
      </c>
      <c r="O3" s="447" t="s">
        <v>296</v>
      </c>
      <c r="P3" s="447" t="s">
        <v>296</v>
      </c>
      <c r="Q3" s="447" t="s">
        <v>296</v>
      </c>
      <c r="R3" s="447" t="s">
        <v>296</v>
      </c>
      <c r="S3" s="447" t="s">
        <v>296</v>
      </c>
      <c r="T3" s="447" t="s">
        <v>296</v>
      </c>
      <c r="U3" s="447" t="s">
        <v>296</v>
      </c>
      <c r="V3" s="447" t="s">
        <v>296</v>
      </c>
      <c r="W3" s="447" t="s">
        <v>296</v>
      </c>
      <c r="X3" s="447" t="s">
        <v>296</v>
      </c>
      <c r="Y3" s="447" t="s">
        <v>296</v>
      </c>
      <c r="Z3" s="447" t="s">
        <v>296</v>
      </c>
      <c r="AA3" s="447" t="s">
        <v>296</v>
      </c>
    </row>
    <row r="4" spans="1:27" x14ac:dyDescent="0.3">
      <c r="A4" s="1116" t="s">
        <v>319</v>
      </c>
      <c r="B4" s="1117"/>
      <c r="C4" s="1118"/>
      <c r="D4" s="1118"/>
      <c r="E4" s="1118"/>
      <c r="F4" s="1118"/>
      <c r="G4" s="1118"/>
      <c r="H4" s="1118"/>
      <c r="I4" s="1118"/>
      <c r="J4" s="1118"/>
      <c r="K4" s="1118"/>
      <c r="L4" s="1118"/>
      <c r="M4" s="1118"/>
      <c r="N4" s="1118"/>
      <c r="O4" s="1118"/>
      <c r="P4" s="1118"/>
      <c r="Q4" s="1118"/>
      <c r="R4" s="1118"/>
      <c r="S4" s="1118"/>
      <c r="T4" s="1118"/>
      <c r="U4" s="1118"/>
      <c r="V4" s="1118"/>
      <c r="W4" s="1118"/>
      <c r="X4" s="1118"/>
      <c r="Y4" s="1117"/>
      <c r="Z4" s="1119"/>
      <c r="AA4" s="1120"/>
    </row>
    <row r="5" spans="1:27" x14ac:dyDescent="0.3">
      <c r="A5" s="424" t="s">
        <v>364</v>
      </c>
      <c r="B5" s="319">
        <v>2422735</v>
      </c>
      <c r="C5" s="312">
        <v>90095</v>
      </c>
      <c r="D5" s="312"/>
      <c r="E5" s="312">
        <v>1997266</v>
      </c>
      <c r="F5" s="312">
        <v>109518</v>
      </c>
      <c r="G5" s="312">
        <v>980243</v>
      </c>
      <c r="H5" s="312">
        <v>35815</v>
      </c>
      <c r="I5" s="312">
        <v>99767</v>
      </c>
      <c r="J5" s="312">
        <v>170944</v>
      </c>
      <c r="K5" s="312">
        <v>64047</v>
      </c>
      <c r="L5" s="312">
        <v>5832683</v>
      </c>
      <c r="M5" s="312">
        <v>1175903</v>
      </c>
      <c r="N5" s="312">
        <v>291425</v>
      </c>
      <c r="O5" s="312">
        <v>449948</v>
      </c>
      <c r="P5" s="312">
        <v>1531008</v>
      </c>
      <c r="Q5" s="312">
        <v>2102137</v>
      </c>
      <c r="R5" s="312">
        <v>577545</v>
      </c>
      <c r="S5" s="312">
        <v>484011</v>
      </c>
      <c r="T5" s="312"/>
      <c r="U5" s="312">
        <v>8123046</v>
      </c>
      <c r="V5" s="312">
        <v>49552</v>
      </c>
      <c r="W5" s="312">
        <v>224006</v>
      </c>
      <c r="X5" s="312">
        <v>1175903</v>
      </c>
      <c r="Y5" s="319">
        <f>SUM(B5:X5)</f>
        <v>27987597</v>
      </c>
      <c r="Z5" s="317"/>
      <c r="AA5" s="319">
        <f>Y5+Z5</f>
        <v>27987597</v>
      </c>
    </row>
    <row r="6" spans="1:27" x14ac:dyDescent="0.3">
      <c r="A6" s="424" t="s">
        <v>365</v>
      </c>
      <c r="B6" s="319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9">
        <f t="shared" ref="Y6:Y22" si="0">SUM(B6:X6)</f>
        <v>0</v>
      </c>
      <c r="Z6" s="317"/>
      <c r="AA6" s="319">
        <f t="shared" ref="AA6:AA22" si="1">Y6+Z6</f>
        <v>0</v>
      </c>
    </row>
    <row r="7" spans="1:27" x14ac:dyDescent="0.3">
      <c r="A7" s="424" t="s">
        <v>366</v>
      </c>
      <c r="B7" s="319">
        <v>178197</v>
      </c>
      <c r="C7" s="312">
        <v>3039</v>
      </c>
      <c r="D7" s="312"/>
      <c r="E7" s="312">
        <v>418088</v>
      </c>
      <c r="F7" s="312">
        <v>7263</v>
      </c>
      <c r="G7" s="312">
        <v>9109</v>
      </c>
      <c r="H7" s="312">
        <v>644</v>
      </c>
      <c r="I7" s="312">
        <v>3422</v>
      </c>
      <c r="J7" s="312">
        <v>6361</v>
      </c>
      <c r="K7" s="312">
        <v>1099</v>
      </c>
      <c r="L7" s="312">
        <v>730251</v>
      </c>
      <c r="M7" s="312">
        <v>74002</v>
      </c>
      <c r="N7" s="312">
        <v>2669</v>
      </c>
      <c r="O7" s="312">
        <v>19749</v>
      </c>
      <c r="P7" s="312">
        <v>59430</v>
      </c>
      <c r="Q7" s="312">
        <v>195897</v>
      </c>
      <c r="R7" s="312">
        <v>22396</v>
      </c>
      <c r="S7" s="312">
        <v>29055</v>
      </c>
      <c r="T7" s="312"/>
      <c r="U7" s="312">
        <v>1343678</v>
      </c>
      <c r="V7" s="312">
        <v>753</v>
      </c>
      <c r="W7" s="312">
        <v>6904</v>
      </c>
      <c r="X7" s="312">
        <v>74002</v>
      </c>
      <c r="Y7" s="319">
        <f t="shared" si="0"/>
        <v>3186008</v>
      </c>
      <c r="Z7" s="317"/>
      <c r="AA7" s="319">
        <f t="shared" si="1"/>
        <v>3186008</v>
      </c>
    </row>
    <row r="8" spans="1:27" x14ac:dyDescent="0.3">
      <c r="A8" s="424" t="s">
        <v>367</v>
      </c>
      <c r="B8" s="319">
        <v>7497</v>
      </c>
      <c r="C8" s="1121"/>
      <c r="D8" s="312"/>
      <c r="E8" s="312"/>
      <c r="F8" s="312"/>
      <c r="G8" s="312"/>
      <c r="H8" s="312"/>
      <c r="I8" s="312"/>
      <c r="J8" s="312"/>
      <c r="K8" s="312"/>
      <c r="L8" s="312"/>
      <c r="M8" s="312">
        <v>4751</v>
      </c>
      <c r="N8" s="312"/>
      <c r="O8" s="312">
        <v>2564</v>
      </c>
      <c r="P8" s="312"/>
      <c r="Q8" s="312"/>
      <c r="R8" s="312"/>
      <c r="S8" s="312">
        <v>1540</v>
      </c>
      <c r="T8" s="312"/>
      <c r="U8" s="312"/>
      <c r="V8" s="312"/>
      <c r="W8" s="312"/>
      <c r="X8" s="312">
        <v>4751</v>
      </c>
      <c r="Y8" s="319">
        <f t="shared" si="0"/>
        <v>21103</v>
      </c>
      <c r="Z8" s="317"/>
      <c r="AA8" s="319">
        <f t="shared" si="1"/>
        <v>21103</v>
      </c>
    </row>
    <row r="9" spans="1:27" x14ac:dyDescent="0.3">
      <c r="A9" s="424" t="s">
        <v>368</v>
      </c>
      <c r="B9" s="319"/>
      <c r="C9" s="1121"/>
      <c r="D9" s="312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312"/>
      <c r="V9" s="312"/>
      <c r="W9" s="312"/>
      <c r="X9" s="312"/>
      <c r="Y9" s="319">
        <f t="shared" si="0"/>
        <v>0</v>
      </c>
      <c r="Z9" s="317"/>
      <c r="AA9" s="319">
        <f t="shared" si="1"/>
        <v>0</v>
      </c>
    </row>
    <row r="10" spans="1:27" x14ac:dyDescent="0.3">
      <c r="A10" s="424" t="s">
        <v>369</v>
      </c>
      <c r="B10" s="319"/>
      <c r="C10" s="1121"/>
      <c r="D10" s="312"/>
      <c r="E10" s="312"/>
      <c r="F10" s="312"/>
      <c r="G10" s="312"/>
      <c r="H10" s="312"/>
      <c r="I10" s="312"/>
      <c r="J10" s="312">
        <v>13214</v>
      </c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2"/>
      <c r="Y10" s="319">
        <f t="shared" si="0"/>
        <v>13214</v>
      </c>
      <c r="Z10" s="317"/>
      <c r="AA10" s="319">
        <f t="shared" si="1"/>
        <v>13214</v>
      </c>
    </row>
    <row r="11" spans="1:27" x14ac:dyDescent="0.3">
      <c r="A11" s="1122" t="s">
        <v>370</v>
      </c>
      <c r="B11" s="319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12"/>
      <c r="U11" s="312"/>
      <c r="V11" s="312"/>
      <c r="W11" s="312"/>
      <c r="X11" s="312"/>
      <c r="Y11" s="319">
        <f t="shared" si="0"/>
        <v>0</v>
      </c>
      <c r="Z11" s="317"/>
      <c r="AA11" s="319">
        <f t="shared" si="1"/>
        <v>0</v>
      </c>
    </row>
    <row r="12" spans="1:27" x14ac:dyDescent="0.3">
      <c r="A12" s="424" t="s">
        <v>364</v>
      </c>
      <c r="B12" s="319">
        <v>1199392</v>
      </c>
      <c r="C12" s="312">
        <v>160838</v>
      </c>
      <c r="D12" s="312"/>
      <c r="E12" s="312">
        <v>1999216</v>
      </c>
      <c r="F12" s="312">
        <v>643920</v>
      </c>
      <c r="G12" s="312">
        <v>586079</v>
      </c>
      <c r="H12" s="312">
        <v>404539</v>
      </c>
      <c r="I12" s="312">
        <v>208719</v>
      </c>
      <c r="J12" s="312">
        <v>1158764</v>
      </c>
      <c r="K12" s="312">
        <v>333814</v>
      </c>
      <c r="L12" s="312">
        <v>5288122</v>
      </c>
      <c r="M12" s="312">
        <v>2089798</v>
      </c>
      <c r="N12" s="312">
        <v>689805</v>
      </c>
      <c r="O12" s="312">
        <v>402963</v>
      </c>
      <c r="P12" s="312">
        <v>1779499</v>
      </c>
      <c r="Q12" s="312">
        <v>4941518</v>
      </c>
      <c r="R12" s="312">
        <v>1665975</v>
      </c>
      <c r="S12" s="312">
        <v>1554506</v>
      </c>
      <c r="T12" s="312"/>
      <c r="U12" s="312">
        <v>6961119</v>
      </c>
      <c r="V12" s="312">
        <v>445464</v>
      </c>
      <c r="W12" s="312">
        <v>615995</v>
      </c>
      <c r="X12" s="312">
        <v>2089798</v>
      </c>
      <c r="Y12" s="319">
        <f t="shared" si="0"/>
        <v>35219843</v>
      </c>
      <c r="Z12" s="317"/>
      <c r="AA12" s="319">
        <f t="shared" si="1"/>
        <v>35219843</v>
      </c>
    </row>
    <row r="13" spans="1:27" x14ac:dyDescent="0.3">
      <c r="A13" s="424" t="s">
        <v>365</v>
      </c>
      <c r="B13" s="319">
        <v>24520</v>
      </c>
      <c r="C13" s="312">
        <v>30</v>
      </c>
      <c r="D13" s="312"/>
      <c r="E13" s="312">
        <v>19778</v>
      </c>
      <c r="F13" s="312"/>
      <c r="G13" s="312">
        <v>44667</v>
      </c>
      <c r="H13" s="312"/>
      <c r="I13" s="312">
        <v>3784</v>
      </c>
      <c r="J13" s="312">
        <v>16362</v>
      </c>
      <c r="K13" s="312">
        <v>1100</v>
      </c>
      <c r="L13" s="312">
        <v>956414</v>
      </c>
      <c r="M13" s="312">
        <v>57891</v>
      </c>
      <c r="N13" s="312">
        <v>3825</v>
      </c>
      <c r="O13" s="312">
        <v>494</v>
      </c>
      <c r="P13" s="312">
        <v>57118</v>
      </c>
      <c r="Q13" s="312">
        <v>52666</v>
      </c>
      <c r="R13" s="312">
        <v>7168</v>
      </c>
      <c r="S13" s="312">
        <v>9583</v>
      </c>
      <c r="T13" s="312"/>
      <c r="U13" s="312">
        <v>575171</v>
      </c>
      <c r="V13" s="312">
        <v>1494</v>
      </c>
      <c r="W13" s="312">
        <v>26574</v>
      </c>
      <c r="X13" s="312">
        <v>57891</v>
      </c>
      <c r="Y13" s="319">
        <f t="shared" si="0"/>
        <v>1916530</v>
      </c>
      <c r="Z13" s="317"/>
      <c r="AA13" s="319">
        <f t="shared" si="1"/>
        <v>1916530</v>
      </c>
    </row>
    <row r="14" spans="1:27" x14ac:dyDescent="0.3">
      <c r="A14" s="424" t="s">
        <v>366</v>
      </c>
      <c r="B14" s="319">
        <v>281329</v>
      </c>
      <c r="C14" s="312">
        <v>322</v>
      </c>
      <c r="D14" s="312"/>
      <c r="E14" s="312">
        <v>860924</v>
      </c>
      <c r="F14" s="312">
        <v>570</v>
      </c>
      <c r="G14" s="312">
        <v>73111</v>
      </c>
      <c r="H14" s="312"/>
      <c r="I14" s="312">
        <v>8218</v>
      </c>
      <c r="J14" s="312">
        <v>184767</v>
      </c>
      <c r="K14" s="312">
        <v>34905</v>
      </c>
      <c r="L14" s="312">
        <v>1170263</v>
      </c>
      <c r="M14" s="312">
        <v>66524</v>
      </c>
      <c r="N14" s="312">
        <v>5679</v>
      </c>
      <c r="O14" s="312">
        <v>518059</v>
      </c>
      <c r="P14" s="312">
        <v>69899</v>
      </c>
      <c r="Q14" s="312">
        <v>6607</v>
      </c>
      <c r="R14" s="312">
        <v>20892</v>
      </c>
      <c r="S14" s="312">
        <v>11038</v>
      </c>
      <c r="T14" s="312"/>
      <c r="U14" s="312">
        <v>689706</v>
      </c>
      <c r="V14" s="312"/>
      <c r="W14" s="312">
        <v>78824</v>
      </c>
      <c r="X14" s="312">
        <v>66524</v>
      </c>
      <c r="Y14" s="319">
        <f t="shared" si="0"/>
        <v>4148161</v>
      </c>
      <c r="Z14" s="317"/>
      <c r="AA14" s="319">
        <f t="shared" si="1"/>
        <v>4148161</v>
      </c>
    </row>
    <row r="15" spans="1:27" x14ac:dyDescent="0.3">
      <c r="A15" s="424" t="s">
        <v>367</v>
      </c>
      <c r="B15" s="319">
        <v>106</v>
      </c>
      <c r="C15" s="312">
        <v>188</v>
      </c>
      <c r="D15" s="312"/>
      <c r="E15" s="312">
        <v>1157</v>
      </c>
      <c r="F15" s="312">
        <v>1735</v>
      </c>
      <c r="G15" s="312">
        <v>425</v>
      </c>
      <c r="H15" s="312">
        <v>358</v>
      </c>
      <c r="I15" s="312">
        <v>520</v>
      </c>
      <c r="J15" s="312">
        <v>97</v>
      </c>
      <c r="K15" s="312">
        <v>751</v>
      </c>
      <c r="L15" s="312">
        <v>5473</v>
      </c>
      <c r="M15" s="312">
        <v>2473</v>
      </c>
      <c r="N15" s="312">
        <v>9</v>
      </c>
      <c r="O15" s="312">
        <v>315</v>
      </c>
      <c r="P15" s="312"/>
      <c r="Q15" s="312">
        <v>2064</v>
      </c>
      <c r="R15" s="312">
        <v>18197</v>
      </c>
      <c r="S15" s="312">
        <v>1099</v>
      </c>
      <c r="T15" s="312"/>
      <c r="U15" s="312">
        <v>241</v>
      </c>
      <c r="V15" s="312">
        <v>27</v>
      </c>
      <c r="W15" s="312">
        <v>9093</v>
      </c>
      <c r="X15" s="312">
        <v>2473</v>
      </c>
      <c r="Y15" s="319">
        <f t="shared" si="0"/>
        <v>46801</v>
      </c>
      <c r="Z15" s="317"/>
      <c r="AA15" s="319">
        <f t="shared" si="1"/>
        <v>46801</v>
      </c>
    </row>
    <row r="16" spans="1:27" ht="17.25" thickBot="1" x14ac:dyDescent="0.35">
      <c r="A16" s="1123" t="s">
        <v>368</v>
      </c>
      <c r="B16" s="1124">
        <v>403514</v>
      </c>
      <c r="C16" s="1125"/>
      <c r="D16" s="1125"/>
      <c r="E16" s="1125"/>
      <c r="F16" s="1125"/>
      <c r="G16" s="1125"/>
      <c r="H16" s="1125"/>
      <c r="I16" s="1125"/>
      <c r="J16" s="1125">
        <v>1842</v>
      </c>
      <c r="K16" s="1125"/>
      <c r="L16" s="1125"/>
      <c r="M16" s="1125"/>
      <c r="N16" s="1125"/>
      <c r="O16" s="1125"/>
      <c r="P16" s="1125"/>
      <c r="Q16" s="1125"/>
      <c r="R16" s="1125"/>
      <c r="S16" s="1125"/>
      <c r="T16" s="1125"/>
      <c r="U16" s="1125"/>
      <c r="V16" s="1125"/>
      <c r="W16" s="1125"/>
      <c r="X16" s="1125"/>
      <c r="Y16" s="319">
        <f t="shared" si="0"/>
        <v>405356</v>
      </c>
      <c r="Z16" s="1126"/>
      <c r="AA16" s="319">
        <f t="shared" si="1"/>
        <v>405356</v>
      </c>
    </row>
    <row r="17" spans="1:27" x14ac:dyDescent="0.3">
      <c r="A17" s="424" t="s">
        <v>369</v>
      </c>
      <c r="B17" s="319"/>
      <c r="C17" s="312"/>
      <c r="D17" s="312"/>
      <c r="E17" s="312"/>
      <c r="F17" s="312"/>
      <c r="G17" s="312"/>
      <c r="H17" s="312"/>
      <c r="I17" s="312"/>
      <c r="J17" s="312">
        <v>5988</v>
      </c>
      <c r="K17" s="312"/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  <c r="W17" s="312"/>
      <c r="X17" s="312"/>
      <c r="Y17" s="319">
        <f t="shared" si="0"/>
        <v>5988</v>
      </c>
      <c r="Z17" s="317"/>
      <c r="AA17" s="319">
        <f t="shared" si="1"/>
        <v>5988</v>
      </c>
    </row>
    <row r="18" spans="1:27" x14ac:dyDescent="0.3">
      <c r="A18" s="67" t="s">
        <v>371</v>
      </c>
      <c r="B18" s="319"/>
      <c r="C18" s="312"/>
      <c r="D18" s="312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  <c r="V18" s="312"/>
      <c r="W18" s="312"/>
      <c r="X18" s="312"/>
      <c r="Y18" s="319">
        <f t="shared" si="0"/>
        <v>0</v>
      </c>
      <c r="Z18" s="317"/>
      <c r="AA18" s="319">
        <f t="shared" si="1"/>
        <v>0</v>
      </c>
    </row>
    <row r="19" spans="1:27" x14ac:dyDescent="0.3">
      <c r="A19" s="424" t="s">
        <v>364</v>
      </c>
      <c r="B19" s="319"/>
      <c r="C19" s="312"/>
      <c r="D19" s="312"/>
      <c r="E19" s="312"/>
      <c r="F19" s="312"/>
      <c r="G19" s="312"/>
      <c r="H19" s="312"/>
      <c r="I19" s="312"/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312"/>
      <c r="U19" s="312"/>
      <c r="V19" s="312"/>
      <c r="W19" s="312"/>
      <c r="X19" s="312"/>
      <c r="Y19" s="319">
        <f t="shared" si="0"/>
        <v>0</v>
      </c>
      <c r="Z19" s="317"/>
      <c r="AA19" s="319">
        <f t="shared" si="1"/>
        <v>0</v>
      </c>
    </row>
    <row r="20" spans="1:27" x14ac:dyDescent="0.3">
      <c r="A20" s="424" t="s">
        <v>365</v>
      </c>
      <c r="B20" s="319"/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312"/>
      <c r="R20" s="312"/>
      <c r="S20" s="312"/>
      <c r="T20" s="312"/>
      <c r="U20" s="312"/>
      <c r="V20" s="312"/>
      <c r="W20" s="312"/>
      <c r="X20" s="312"/>
      <c r="Y20" s="319">
        <f t="shared" si="0"/>
        <v>0</v>
      </c>
      <c r="Z20" s="317"/>
      <c r="AA20" s="319">
        <f t="shared" si="1"/>
        <v>0</v>
      </c>
    </row>
    <row r="21" spans="1:27" x14ac:dyDescent="0.3">
      <c r="A21" s="424" t="s">
        <v>366</v>
      </c>
      <c r="B21" s="319"/>
      <c r="C21" s="312"/>
      <c r="D21" s="312"/>
      <c r="E21" s="312"/>
      <c r="F21" s="312"/>
      <c r="G21" s="312"/>
      <c r="H21" s="312"/>
      <c r="I21" s="312"/>
      <c r="J21" s="312"/>
      <c r="K21" s="312"/>
      <c r="L21" s="312"/>
      <c r="M21" s="312"/>
      <c r="N21" s="312"/>
      <c r="O21" s="312"/>
      <c r="P21" s="312"/>
      <c r="Q21" s="312"/>
      <c r="R21" s="312"/>
      <c r="S21" s="312"/>
      <c r="T21" s="312"/>
      <c r="U21" s="312"/>
      <c r="V21" s="312"/>
      <c r="W21" s="312"/>
      <c r="X21" s="312"/>
      <c r="Y21" s="319">
        <f t="shared" si="0"/>
        <v>0</v>
      </c>
      <c r="Z21" s="317"/>
      <c r="AA21" s="319">
        <f t="shared" si="1"/>
        <v>0</v>
      </c>
    </row>
    <row r="22" spans="1:27" ht="17.25" thickBot="1" x14ac:dyDescent="0.35">
      <c r="A22" s="424" t="s">
        <v>367</v>
      </c>
      <c r="B22" s="1127"/>
      <c r="C22" s="1128"/>
      <c r="D22" s="1128"/>
      <c r="E22" s="1128"/>
      <c r="F22" s="1128"/>
      <c r="G22" s="1128"/>
      <c r="H22" s="1128"/>
      <c r="I22" s="1128"/>
      <c r="J22" s="1128"/>
      <c r="K22" s="1128"/>
      <c r="L22" s="1128"/>
      <c r="M22" s="1128"/>
      <c r="N22" s="1128"/>
      <c r="O22" s="1128"/>
      <c r="P22" s="1128"/>
      <c r="Q22" s="1128"/>
      <c r="R22" s="1128"/>
      <c r="S22" s="1128"/>
      <c r="T22" s="1128"/>
      <c r="U22" s="1128"/>
      <c r="V22" s="1128"/>
      <c r="W22" s="1128"/>
      <c r="X22" s="1128"/>
      <c r="Y22" s="1127">
        <f t="shared" si="0"/>
        <v>0</v>
      </c>
      <c r="Z22" s="1129"/>
      <c r="AA22" s="1127">
        <f t="shared" si="1"/>
        <v>0</v>
      </c>
    </row>
  </sheetData>
  <mergeCells count="1">
    <mergeCell ref="A2:A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W10"/>
  <sheetViews>
    <sheetView topLeftCell="BQ1" zoomScale="140" zoomScaleNormal="140" workbookViewId="0">
      <selection activeCell="BX13" sqref="BX13"/>
    </sheetView>
  </sheetViews>
  <sheetFormatPr defaultColWidth="6.7109375" defaultRowHeight="9" x14ac:dyDescent="0.15"/>
  <cols>
    <col min="1" max="1" width="10.42578125" style="947" customWidth="1"/>
    <col min="2" max="2" width="7.7109375" style="947" bestFit="1" customWidth="1"/>
    <col min="3" max="3" width="6.7109375" style="947" customWidth="1"/>
    <col min="4" max="4" width="7.7109375" style="947" bestFit="1" customWidth="1"/>
    <col min="5" max="5" width="7.42578125" style="947" bestFit="1" customWidth="1"/>
    <col min="6" max="69" width="6.7109375" style="947" customWidth="1"/>
    <col min="70" max="70" width="8.5703125" style="947" bestFit="1" customWidth="1"/>
    <col min="71" max="71" width="8" style="947" bestFit="1" customWidth="1"/>
    <col min="72" max="144" width="6.7109375" style="947" customWidth="1"/>
    <col min="145" max="146" width="6.7109375" style="946" customWidth="1"/>
    <col min="147" max="16384" width="6.7109375" style="947"/>
  </cols>
  <sheetData>
    <row r="1" spans="1:153" x14ac:dyDescent="0.15">
      <c r="A1" s="945" t="s">
        <v>255</v>
      </c>
      <c r="B1" s="945"/>
      <c r="C1" s="945"/>
      <c r="D1" s="945"/>
      <c r="E1" s="945"/>
      <c r="F1" s="945"/>
      <c r="G1" s="945"/>
      <c r="H1" s="945"/>
      <c r="I1" s="945"/>
      <c r="J1" s="945"/>
      <c r="K1" s="945"/>
      <c r="L1" s="945"/>
      <c r="M1" s="945"/>
      <c r="N1" s="945"/>
      <c r="O1" s="945"/>
      <c r="P1" s="945"/>
      <c r="Q1" s="945"/>
      <c r="R1" s="945"/>
      <c r="S1" s="945"/>
      <c r="T1" s="945"/>
      <c r="U1" s="945"/>
      <c r="V1" s="945"/>
      <c r="W1" s="945"/>
      <c r="X1" s="945"/>
      <c r="Y1" s="945"/>
      <c r="Z1" s="945"/>
      <c r="AA1" s="945"/>
      <c r="AB1" s="945"/>
      <c r="AC1" s="945"/>
      <c r="AD1" s="945"/>
      <c r="AE1" s="945"/>
      <c r="AF1" s="945"/>
      <c r="AG1" s="945"/>
      <c r="AH1" s="945"/>
      <c r="AI1" s="945"/>
      <c r="AJ1" s="945"/>
      <c r="AK1" s="945"/>
      <c r="AL1" s="945"/>
      <c r="AM1" s="945"/>
      <c r="AN1" s="945"/>
      <c r="AO1" s="945"/>
      <c r="AP1" s="945"/>
      <c r="AQ1" s="945"/>
      <c r="AR1" s="945"/>
      <c r="AS1" s="945"/>
      <c r="AT1" s="945"/>
      <c r="AU1" s="945"/>
      <c r="AV1" s="945"/>
      <c r="AW1" s="945"/>
      <c r="AX1" s="945"/>
      <c r="AY1" s="945"/>
      <c r="AZ1" s="945"/>
      <c r="BA1" s="945"/>
      <c r="BB1" s="945"/>
      <c r="BC1" s="945"/>
      <c r="BD1" s="945"/>
      <c r="BE1" s="945"/>
      <c r="BF1" s="945"/>
      <c r="BG1" s="945"/>
      <c r="BH1" s="945"/>
      <c r="BI1" s="945"/>
      <c r="BJ1" s="945"/>
      <c r="BK1" s="945"/>
      <c r="BL1" s="945"/>
      <c r="BM1" s="945"/>
      <c r="BN1" s="945"/>
      <c r="BO1" s="945"/>
      <c r="BP1" s="945"/>
      <c r="BQ1" s="945"/>
      <c r="BR1" s="945"/>
      <c r="BS1" s="945"/>
      <c r="BT1" s="945"/>
      <c r="BU1" s="945"/>
      <c r="BV1" s="945"/>
      <c r="BW1" s="945"/>
      <c r="BX1" s="945"/>
      <c r="BY1" s="945"/>
      <c r="BZ1" s="945"/>
      <c r="CA1" s="945"/>
      <c r="CB1" s="945"/>
      <c r="CC1" s="945"/>
      <c r="CD1" s="945"/>
      <c r="CE1" s="945"/>
      <c r="CF1" s="945"/>
      <c r="CG1" s="945"/>
      <c r="CH1" s="945"/>
      <c r="CI1" s="945"/>
      <c r="CJ1" s="945"/>
      <c r="CK1" s="945"/>
      <c r="CL1" s="945"/>
      <c r="CM1" s="945"/>
      <c r="CN1" s="945"/>
      <c r="CO1" s="945"/>
      <c r="CP1" s="945"/>
      <c r="CQ1" s="945"/>
      <c r="CR1" s="945"/>
      <c r="CS1" s="945"/>
      <c r="CT1" s="945"/>
      <c r="CU1" s="945"/>
      <c r="CV1" s="945"/>
      <c r="CW1" s="945"/>
      <c r="CX1" s="945"/>
      <c r="CY1" s="945"/>
      <c r="CZ1" s="945"/>
      <c r="DA1" s="945"/>
      <c r="DB1" s="945"/>
      <c r="DC1" s="945"/>
      <c r="DD1" s="945"/>
      <c r="DE1" s="945"/>
      <c r="DF1" s="945"/>
      <c r="DG1" s="945"/>
      <c r="DH1" s="945"/>
      <c r="DI1" s="945"/>
      <c r="DJ1" s="945"/>
      <c r="DK1" s="945"/>
      <c r="DL1" s="945"/>
      <c r="DM1" s="945"/>
      <c r="DN1" s="945"/>
      <c r="DO1" s="945"/>
      <c r="DP1" s="945"/>
      <c r="DQ1" s="945"/>
      <c r="DR1" s="945"/>
      <c r="DS1" s="945"/>
      <c r="DT1" s="945"/>
      <c r="DU1" s="945"/>
      <c r="DV1" s="945"/>
      <c r="DW1" s="945"/>
      <c r="DX1" s="945"/>
      <c r="DY1" s="945"/>
      <c r="DZ1" s="945"/>
      <c r="EA1" s="945"/>
      <c r="EB1" s="945"/>
      <c r="EC1" s="945"/>
      <c r="ED1" s="945"/>
      <c r="EE1" s="945"/>
      <c r="EF1" s="945"/>
      <c r="EG1" s="945"/>
      <c r="EH1" s="945"/>
      <c r="EI1" s="945"/>
      <c r="EJ1" s="945"/>
      <c r="EK1" s="945"/>
      <c r="EL1" s="945"/>
      <c r="EM1" s="945"/>
      <c r="EN1" s="945"/>
    </row>
    <row r="2" spans="1:153" ht="9.75" thickBot="1" x14ac:dyDescent="0.2">
      <c r="A2" s="1274" t="s">
        <v>276</v>
      </c>
      <c r="B2" s="1274"/>
      <c r="C2" s="1274"/>
      <c r="D2" s="1274"/>
      <c r="E2" s="1274"/>
      <c r="F2" s="1274"/>
      <c r="G2" s="1274"/>
      <c r="H2" s="1274"/>
      <c r="I2" s="1274"/>
      <c r="J2" s="1274"/>
      <c r="K2" s="1274"/>
      <c r="L2" s="1274"/>
      <c r="M2" s="1274"/>
      <c r="N2" s="1274"/>
      <c r="O2" s="1274"/>
      <c r="P2" s="1274"/>
      <c r="Q2" s="1274"/>
      <c r="R2" s="1274"/>
      <c r="S2" s="1274"/>
      <c r="T2" s="1274"/>
      <c r="U2" s="1274"/>
      <c r="V2" s="1274"/>
      <c r="W2" s="1274"/>
      <c r="X2" s="1274"/>
      <c r="Y2" s="1274"/>
      <c r="Z2" s="1274"/>
      <c r="AA2" s="1274"/>
      <c r="AB2" s="1274"/>
      <c r="AC2" s="1274"/>
      <c r="AD2" s="1274"/>
      <c r="AE2" s="1274"/>
      <c r="AF2" s="1274"/>
      <c r="AG2" s="1274"/>
      <c r="AH2" s="1274"/>
      <c r="AI2" s="1274"/>
      <c r="AJ2" s="1274"/>
      <c r="AK2" s="1274"/>
      <c r="AL2" s="1274"/>
      <c r="AM2" s="1274"/>
      <c r="AN2" s="1274"/>
      <c r="AO2" s="1274"/>
      <c r="AP2" s="1274"/>
      <c r="AQ2" s="1274"/>
      <c r="AR2" s="1274"/>
      <c r="AS2" s="1274"/>
      <c r="AT2" s="1274"/>
      <c r="AU2" s="1274"/>
      <c r="AV2" s="1274"/>
      <c r="AW2" s="1274"/>
      <c r="AX2" s="1274"/>
      <c r="AY2" s="1274"/>
      <c r="AZ2" s="1274"/>
      <c r="BA2" s="1274"/>
      <c r="BB2" s="1274"/>
      <c r="BC2" s="1274"/>
      <c r="BD2" s="1274"/>
      <c r="BE2" s="1274"/>
      <c r="BF2" s="1274"/>
      <c r="BG2" s="1274"/>
      <c r="BH2" s="1274"/>
      <c r="BI2" s="1274"/>
      <c r="BJ2" s="1274"/>
      <c r="BK2" s="1274"/>
      <c r="BL2" s="1274"/>
      <c r="BM2" s="1274"/>
      <c r="BN2" s="1274"/>
      <c r="BO2" s="1274"/>
      <c r="BP2" s="1274"/>
      <c r="BQ2" s="1274"/>
      <c r="BR2" s="1274"/>
      <c r="BS2" s="1274"/>
      <c r="BT2" s="1274"/>
      <c r="BU2" s="1274"/>
      <c r="BV2" s="1274"/>
      <c r="BW2" s="1274"/>
      <c r="BX2" s="1274"/>
      <c r="BY2" s="1274"/>
      <c r="BZ2" s="1274"/>
      <c r="CA2" s="1274"/>
      <c r="CB2" s="1274"/>
      <c r="CC2" s="1274"/>
      <c r="CD2" s="1274"/>
      <c r="CE2" s="1274"/>
      <c r="CF2" s="1274"/>
      <c r="CG2" s="1274"/>
      <c r="CH2" s="1274"/>
      <c r="CI2" s="1274"/>
      <c r="CJ2" s="1274"/>
      <c r="CK2" s="1274"/>
      <c r="CL2" s="1274"/>
      <c r="CM2" s="1274"/>
      <c r="CN2" s="1274"/>
      <c r="CO2" s="1274"/>
      <c r="CP2" s="1274"/>
      <c r="CQ2" s="1274"/>
      <c r="CR2" s="1274"/>
      <c r="CS2" s="1274"/>
      <c r="CT2" s="1274"/>
      <c r="CU2" s="1274"/>
      <c r="CV2" s="1274"/>
      <c r="CW2" s="1274"/>
      <c r="CX2" s="1274"/>
      <c r="CY2" s="1274"/>
      <c r="CZ2" s="1274"/>
      <c r="DA2" s="1274"/>
      <c r="DB2" s="1274"/>
      <c r="DC2" s="1274"/>
      <c r="DD2" s="1274"/>
      <c r="DE2" s="1274"/>
      <c r="DF2" s="1274"/>
      <c r="DG2" s="1274"/>
      <c r="DH2" s="1274"/>
      <c r="DI2" s="1274"/>
      <c r="DJ2" s="1274"/>
      <c r="DK2" s="1274"/>
      <c r="DL2" s="1274"/>
      <c r="DM2" s="1274"/>
      <c r="DN2" s="1274"/>
      <c r="DO2" s="1274"/>
      <c r="DP2" s="1274"/>
      <c r="DQ2" s="1274"/>
      <c r="DR2" s="1274"/>
      <c r="DS2" s="1274"/>
      <c r="DT2" s="1274"/>
      <c r="DU2" s="1274"/>
      <c r="DV2" s="1274"/>
      <c r="DW2" s="1274"/>
      <c r="DX2" s="1274"/>
      <c r="DY2" s="1274"/>
      <c r="DZ2" s="1274"/>
      <c r="EA2" s="1274"/>
      <c r="EB2" s="1274"/>
      <c r="EC2" s="1274"/>
      <c r="ED2" s="1274"/>
      <c r="EE2" s="1274"/>
      <c r="EF2" s="1274"/>
      <c r="EG2" s="1274"/>
      <c r="EH2" s="1274"/>
      <c r="EI2" s="1274"/>
      <c r="EJ2" s="1274"/>
      <c r="EK2" s="1274"/>
      <c r="EL2" s="1274"/>
      <c r="EM2" s="1274"/>
      <c r="EN2" s="1274"/>
    </row>
    <row r="3" spans="1:153" ht="27.75" customHeight="1" thickBot="1" x14ac:dyDescent="0.2">
      <c r="A3" s="1275" t="s">
        <v>261</v>
      </c>
      <c r="B3" s="1276"/>
      <c r="C3" s="1276"/>
      <c r="D3" s="1276"/>
      <c r="E3" s="1276"/>
      <c r="F3" s="1277"/>
      <c r="G3" s="1278" t="s">
        <v>154</v>
      </c>
      <c r="H3" s="1279"/>
      <c r="I3" s="1279"/>
      <c r="J3" s="1279"/>
      <c r="K3" s="1279"/>
      <c r="L3" s="1280"/>
      <c r="M3" s="1281" t="s">
        <v>155</v>
      </c>
      <c r="N3" s="1281"/>
      <c r="O3" s="1281"/>
      <c r="P3" s="1281"/>
      <c r="Q3" s="1281"/>
      <c r="R3" s="1282"/>
      <c r="S3" s="1278" t="s">
        <v>263</v>
      </c>
      <c r="T3" s="1279"/>
      <c r="U3" s="1279"/>
      <c r="V3" s="1279"/>
      <c r="W3" s="1279"/>
      <c r="X3" s="1280"/>
      <c r="Y3" s="1278" t="s">
        <v>264</v>
      </c>
      <c r="Z3" s="1279"/>
      <c r="AA3" s="1279"/>
      <c r="AB3" s="1279"/>
      <c r="AC3" s="1279"/>
      <c r="AD3" s="1280"/>
      <c r="AE3" s="1278" t="s">
        <v>268</v>
      </c>
      <c r="AF3" s="1279"/>
      <c r="AG3" s="1279"/>
      <c r="AH3" s="1279"/>
      <c r="AI3" s="1279"/>
      <c r="AJ3" s="1280"/>
      <c r="AK3" s="1278" t="s">
        <v>407</v>
      </c>
      <c r="AL3" s="1279"/>
      <c r="AM3" s="1279"/>
      <c r="AN3" s="1279"/>
      <c r="AO3" s="1279"/>
      <c r="AP3" s="1280"/>
      <c r="AQ3" s="1278" t="s">
        <v>180</v>
      </c>
      <c r="AR3" s="1279"/>
      <c r="AS3" s="1279"/>
      <c r="AT3" s="1279"/>
      <c r="AU3" s="1279"/>
      <c r="AV3" s="1280"/>
      <c r="AW3" s="1283" t="s">
        <v>265</v>
      </c>
      <c r="AX3" s="1284"/>
      <c r="AY3" s="1284"/>
      <c r="AZ3" s="1284"/>
      <c r="BA3" s="1284"/>
      <c r="BB3" s="1285"/>
      <c r="BC3" s="1286" t="s">
        <v>266</v>
      </c>
      <c r="BD3" s="1287"/>
      <c r="BE3" s="1287"/>
      <c r="BF3" s="1287"/>
      <c r="BG3" s="1287"/>
      <c r="BH3" s="1288"/>
      <c r="BI3" s="948"/>
      <c r="BJ3" s="1289" t="s">
        <v>267</v>
      </c>
      <c r="BK3" s="1287"/>
      <c r="BL3" s="1287"/>
      <c r="BM3" s="1287"/>
      <c r="BN3" s="1288"/>
      <c r="BO3" s="1278" t="s">
        <v>179</v>
      </c>
      <c r="BP3" s="1279"/>
      <c r="BQ3" s="1279"/>
      <c r="BR3" s="1279"/>
      <c r="BS3" s="1279"/>
      <c r="BT3" s="1280"/>
      <c r="BU3" s="1290" t="s">
        <v>176</v>
      </c>
      <c r="BV3" s="1291"/>
      <c r="BW3" s="1291"/>
      <c r="BX3" s="1291"/>
      <c r="BY3" s="1291"/>
      <c r="BZ3" s="1292"/>
      <c r="CA3" s="1286" t="s">
        <v>165</v>
      </c>
      <c r="CB3" s="1287"/>
      <c r="CC3" s="1287"/>
      <c r="CD3" s="1287"/>
      <c r="CE3" s="1287"/>
      <c r="CF3" s="1288"/>
      <c r="CG3" s="1293" t="s">
        <v>166</v>
      </c>
      <c r="CH3" s="1294"/>
      <c r="CI3" s="1294"/>
      <c r="CJ3" s="1294"/>
      <c r="CK3" s="1294"/>
      <c r="CL3" s="1295"/>
      <c r="CM3" s="1278" t="s">
        <v>167</v>
      </c>
      <c r="CN3" s="1279"/>
      <c r="CO3" s="1279"/>
      <c r="CP3" s="1279"/>
      <c r="CQ3" s="1279"/>
      <c r="CR3" s="1280"/>
      <c r="CS3" s="1286" t="s">
        <v>271</v>
      </c>
      <c r="CT3" s="1287"/>
      <c r="CU3" s="1287"/>
      <c r="CV3" s="1287"/>
      <c r="CW3" s="1287"/>
      <c r="CX3" s="1288"/>
      <c r="CY3" s="1286" t="s">
        <v>178</v>
      </c>
      <c r="CZ3" s="1287"/>
      <c r="DA3" s="1287"/>
      <c r="DB3" s="1287"/>
      <c r="DC3" s="1287"/>
      <c r="DD3" s="1288"/>
      <c r="DE3" s="1293" t="s">
        <v>170</v>
      </c>
      <c r="DF3" s="1294"/>
      <c r="DG3" s="1294"/>
      <c r="DH3" s="1294"/>
      <c r="DI3" s="1294"/>
      <c r="DJ3" s="1295"/>
      <c r="DK3" s="1278" t="s">
        <v>177</v>
      </c>
      <c r="DL3" s="1279"/>
      <c r="DM3" s="1279"/>
      <c r="DN3" s="1279"/>
      <c r="DO3" s="1279"/>
      <c r="DP3" s="1280"/>
      <c r="DQ3" s="1278" t="s">
        <v>269</v>
      </c>
      <c r="DR3" s="1279"/>
      <c r="DS3" s="1279"/>
      <c r="DT3" s="1279"/>
      <c r="DU3" s="1279"/>
      <c r="DV3" s="1280"/>
      <c r="DW3" s="1278" t="s">
        <v>173</v>
      </c>
      <c r="DX3" s="1279"/>
      <c r="DY3" s="1279"/>
      <c r="DZ3" s="1279"/>
      <c r="EA3" s="1279"/>
      <c r="EB3" s="1280"/>
      <c r="EC3" s="1296" t="s">
        <v>174</v>
      </c>
      <c r="ED3" s="1297"/>
      <c r="EE3" s="1297"/>
      <c r="EF3" s="1297"/>
      <c r="EG3" s="1297"/>
      <c r="EH3" s="1298"/>
      <c r="EI3" s="1299" t="s">
        <v>175</v>
      </c>
      <c r="EJ3" s="1300"/>
      <c r="EK3" s="1300"/>
      <c r="EL3" s="1300"/>
      <c r="EM3" s="1300"/>
      <c r="EN3" s="1301"/>
      <c r="EO3" s="1299" t="s">
        <v>270</v>
      </c>
      <c r="EP3" s="1300"/>
      <c r="EQ3" s="1300"/>
      <c r="ER3" s="1300"/>
      <c r="ES3" s="1300"/>
      <c r="ET3" s="1301"/>
    </row>
    <row r="4" spans="1:153" s="949" customFormat="1" ht="16.5" customHeight="1" thickBot="1" x14ac:dyDescent="0.2">
      <c r="A4" s="1302" t="s">
        <v>256</v>
      </c>
      <c r="B4" s="1303"/>
      <c r="C4" s="1304"/>
      <c r="D4" s="1303" t="s">
        <v>262</v>
      </c>
      <c r="E4" s="1303"/>
      <c r="F4" s="1304"/>
      <c r="G4" s="1302" t="s">
        <v>256</v>
      </c>
      <c r="H4" s="1303"/>
      <c r="I4" s="1304"/>
      <c r="J4" s="1303" t="s">
        <v>262</v>
      </c>
      <c r="K4" s="1303"/>
      <c r="L4" s="1304"/>
      <c r="M4" s="1305" t="s">
        <v>256</v>
      </c>
      <c r="N4" s="1306"/>
      <c r="O4" s="1307"/>
      <c r="P4" s="1305" t="s">
        <v>262</v>
      </c>
      <c r="Q4" s="1306"/>
      <c r="R4" s="1307"/>
      <c r="S4" s="1305" t="s">
        <v>256</v>
      </c>
      <c r="T4" s="1306"/>
      <c r="U4" s="1307"/>
      <c r="V4" s="1305" t="s">
        <v>262</v>
      </c>
      <c r="W4" s="1306"/>
      <c r="X4" s="1307"/>
      <c r="Y4" s="1305" t="s">
        <v>256</v>
      </c>
      <c r="Z4" s="1306"/>
      <c r="AA4" s="1307"/>
      <c r="AB4" s="1305" t="s">
        <v>262</v>
      </c>
      <c r="AC4" s="1306"/>
      <c r="AD4" s="1307"/>
      <c r="AE4" s="1305" t="s">
        <v>256</v>
      </c>
      <c r="AF4" s="1306"/>
      <c r="AG4" s="1307"/>
      <c r="AH4" s="1306" t="s">
        <v>262</v>
      </c>
      <c r="AI4" s="1306"/>
      <c r="AJ4" s="1307"/>
      <c r="AK4" s="1305" t="s">
        <v>256</v>
      </c>
      <c r="AL4" s="1306"/>
      <c r="AM4" s="1307"/>
      <c r="AN4" s="1306" t="s">
        <v>262</v>
      </c>
      <c r="AO4" s="1306"/>
      <c r="AP4" s="1307"/>
      <c r="AQ4" s="1305" t="s">
        <v>256</v>
      </c>
      <c r="AR4" s="1306"/>
      <c r="AS4" s="1307"/>
      <c r="AT4" s="1305" t="s">
        <v>262</v>
      </c>
      <c r="AU4" s="1306"/>
      <c r="AV4" s="1307"/>
      <c r="AW4" s="1305" t="s">
        <v>256</v>
      </c>
      <c r="AX4" s="1306"/>
      <c r="AY4" s="1307"/>
      <c r="AZ4" s="1305" t="s">
        <v>262</v>
      </c>
      <c r="BA4" s="1306"/>
      <c r="BB4" s="1307"/>
      <c r="BC4" s="1305" t="s">
        <v>256</v>
      </c>
      <c r="BD4" s="1306"/>
      <c r="BE4" s="1307"/>
      <c r="BF4" s="1305" t="s">
        <v>262</v>
      </c>
      <c r="BG4" s="1306"/>
      <c r="BH4" s="1307"/>
      <c r="BI4" s="1305" t="s">
        <v>256</v>
      </c>
      <c r="BJ4" s="1306"/>
      <c r="BK4" s="1307"/>
      <c r="BL4" s="1305" t="s">
        <v>262</v>
      </c>
      <c r="BM4" s="1306"/>
      <c r="BN4" s="1307"/>
      <c r="BO4" s="1305" t="s">
        <v>256</v>
      </c>
      <c r="BP4" s="1306"/>
      <c r="BQ4" s="1307"/>
      <c r="BR4" s="1305" t="s">
        <v>262</v>
      </c>
      <c r="BS4" s="1306"/>
      <c r="BT4" s="1307"/>
      <c r="BU4" s="1305" t="s">
        <v>256</v>
      </c>
      <c r="BV4" s="1306"/>
      <c r="BW4" s="1307"/>
      <c r="BX4" s="1306" t="s">
        <v>262</v>
      </c>
      <c r="BY4" s="1306"/>
      <c r="BZ4" s="1307"/>
      <c r="CA4" s="1305" t="s">
        <v>256</v>
      </c>
      <c r="CB4" s="1306"/>
      <c r="CC4" s="1307"/>
      <c r="CD4" s="1305" t="s">
        <v>262</v>
      </c>
      <c r="CE4" s="1306"/>
      <c r="CF4" s="1307"/>
      <c r="CG4" s="1305" t="s">
        <v>256</v>
      </c>
      <c r="CH4" s="1306"/>
      <c r="CI4" s="1307"/>
      <c r="CJ4" s="1305" t="s">
        <v>262</v>
      </c>
      <c r="CK4" s="1306"/>
      <c r="CL4" s="1307"/>
      <c r="CM4" s="1305" t="s">
        <v>256</v>
      </c>
      <c r="CN4" s="1306"/>
      <c r="CO4" s="1307"/>
      <c r="CP4" s="1305" t="s">
        <v>262</v>
      </c>
      <c r="CQ4" s="1306"/>
      <c r="CR4" s="1307"/>
      <c r="CS4" s="1305" t="s">
        <v>256</v>
      </c>
      <c r="CT4" s="1306"/>
      <c r="CU4" s="1307"/>
      <c r="CV4" s="1305" t="s">
        <v>262</v>
      </c>
      <c r="CW4" s="1306"/>
      <c r="CX4" s="1307"/>
      <c r="CY4" s="1305" t="s">
        <v>256</v>
      </c>
      <c r="CZ4" s="1306"/>
      <c r="DA4" s="1307"/>
      <c r="DB4" s="1303" t="s">
        <v>262</v>
      </c>
      <c r="DC4" s="1303"/>
      <c r="DD4" s="1304"/>
      <c r="DE4" s="1305" t="s">
        <v>256</v>
      </c>
      <c r="DF4" s="1306"/>
      <c r="DG4" s="1307"/>
      <c r="DH4" s="1306" t="s">
        <v>262</v>
      </c>
      <c r="DI4" s="1306"/>
      <c r="DJ4" s="1307"/>
      <c r="DK4" s="1305" t="s">
        <v>256</v>
      </c>
      <c r="DL4" s="1306"/>
      <c r="DM4" s="1307"/>
      <c r="DN4" s="1306" t="s">
        <v>262</v>
      </c>
      <c r="DO4" s="1306"/>
      <c r="DP4" s="1307"/>
      <c r="DQ4" s="1306" t="s">
        <v>256</v>
      </c>
      <c r="DR4" s="1306"/>
      <c r="DS4" s="1307"/>
      <c r="DT4" s="1306" t="s">
        <v>262</v>
      </c>
      <c r="DU4" s="1306"/>
      <c r="DV4" s="1307"/>
      <c r="DW4" s="1305" t="s">
        <v>256</v>
      </c>
      <c r="DX4" s="1306"/>
      <c r="DY4" s="1307"/>
      <c r="DZ4" s="1305" t="s">
        <v>262</v>
      </c>
      <c r="EA4" s="1306"/>
      <c r="EB4" s="1307"/>
      <c r="EC4" s="1305" t="s">
        <v>256</v>
      </c>
      <c r="ED4" s="1306"/>
      <c r="EE4" s="1307"/>
      <c r="EF4" s="1306" t="s">
        <v>262</v>
      </c>
      <c r="EG4" s="1306"/>
      <c r="EH4" s="1307"/>
      <c r="EI4" s="1305" t="s">
        <v>256</v>
      </c>
      <c r="EJ4" s="1306"/>
      <c r="EK4" s="1307"/>
      <c r="EL4" s="1306" t="s">
        <v>262</v>
      </c>
      <c r="EM4" s="1306"/>
      <c r="EN4" s="1307"/>
      <c r="EO4" s="1305" t="s">
        <v>256</v>
      </c>
      <c r="EP4" s="1306"/>
      <c r="EQ4" s="1307"/>
      <c r="ER4" s="1306" t="s">
        <v>262</v>
      </c>
      <c r="ES4" s="1306"/>
      <c r="ET4" s="1307"/>
    </row>
    <row r="5" spans="1:153" s="949" customFormat="1" ht="27.75" thickBot="1" x14ac:dyDescent="0.2">
      <c r="A5" s="950" t="s">
        <v>257</v>
      </c>
      <c r="B5" s="951" t="s">
        <v>258</v>
      </c>
      <c r="C5" s="952" t="s">
        <v>259</v>
      </c>
      <c r="D5" s="953" t="s">
        <v>257</v>
      </c>
      <c r="E5" s="953" t="s">
        <v>258</v>
      </c>
      <c r="F5" s="954" t="s">
        <v>260</v>
      </c>
      <c r="G5" s="955" t="s">
        <v>257</v>
      </c>
      <c r="H5" s="956" t="s">
        <v>258</v>
      </c>
      <c r="I5" s="957" t="s">
        <v>259</v>
      </c>
      <c r="J5" s="956" t="s">
        <v>257</v>
      </c>
      <c r="K5" s="956" t="s">
        <v>258</v>
      </c>
      <c r="L5" s="957" t="s">
        <v>260</v>
      </c>
      <c r="M5" s="955" t="s">
        <v>257</v>
      </c>
      <c r="N5" s="956" t="s">
        <v>258</v>
      </c>
      <c r="O5" s="957" t="s">
        <v>260</v>
      </c>
      <c r="P5" s="956" t="s">
        <v>257</v>
      </c>
      <c r="Q5" s="956" t="s">
        <v>258</v>
      </c>
      <c r="R5" s="957" t="s">
        <v>260</v>
      </c>
      <c r="S5" s="955" t="s">
        <v>257</v>
      </c>
      <c r="T5" s="956" t="s">
        <v>258</v>
      </c>
      <c r="U5" s="957" t="s">
        <v>260</v>
      </c>
      <c r="V5" s="955" t="s">
        <v>257</v>
      </c>
      <c r="W5" s="956" t="s">
        <v>258</v>
      </c>
      <c r="X5" s="957" t="s">
        <v>260</v>
      </c>
      <c r="Y5" s="955" t="s">
        <v>257</v>
      </c>
      <c r="Z5" s="956" t="s">
        <v>258</v>
      </c>
      <c r="AA5" s="957" t="s">
        <v>260</v>
      </c>
      <c r="AB5" s="955" t="s">
        <v>257</v>
      </c>
      <c r="AC5" s="956" t="s">
        <v>258</v>
      </c>
      <c r="AD5" s="957" t="s">
        <v>260</v>
      </c>
      <c r="AE5" s="955" t="s">
        <v>257</v>
      </c>
      <c r="AF5" s="956" t="s">
        <v>258</v>
      </c>
      <c r="AG5" s="957" t="s">
        <v>260</v>
      </c>
      <c r="AH5" s="956" t="s">
        <v>257</v>
      </c>
      <c r="AI5" s="956" t="s">
        <v>258</v>
      </c>
      <c r="AJ5" s="957" t="s">
        <v>260</v>
      </c>
      <c r="AK5" s="955" t="s">
        <v>257</v>
      </c>
      <c r="AL5" s="956" t="s">
        <v>258</v>
      </c>
      <c r="AM5" s="957" t="s">
        <v>260</v>
      </c>
      <c r="AN5" s="956" t="s">
        <v>257</v>
      </c>
      <c r="AO5" s="956" t="s">
        <v>258</v>
      </c>
      <c r="AP5" s="957" t="s">
        <v>260</v>
      </c>
      <c r="AQ5" s="955" t="s">
        <v>257</v>
      </c>
      <c r="AR5" s="956" t="s">
        <v>258</v>
      </c>
      <c r="AS5" s="957" t="s">
        <v>260</v>
      </c>
      <c r="AT5" s="955" t="s">
        <v>257</v>
      </c>
      <c r="AU5" s="956" t="s">
        <v>258</v>
      </c>
      <c r="AV5" s="957" t="s">
        <v>260</v>
      </c>
      <c r="AW5" s="955" t="s">
        <v>257</v>
      </c>
      <c r="AX5" s="956" t="s">
        <v>258</v>
      </c>
      <c r="AY5" s="957" t="s">
        <v>260</v>
      </c>
      <c r="AZ5" s="955" t="s">
        <v>257</v>
      </c>
      <c r="BA5" s="956" t="s">
        <v>258</v>
      </c>
      <c r="BB5" s="957" t="s">
        <v>260</v>
      </c>
      <c r="BC5" s="955" t="s">
        <v>257</v>
      </c>
      <c r="BD5" s="956" t="s">
        <v>258</v>
      </c>
      <c r="BE5" s="957" t="s">
        <v>260</v>
      </c>
      <c r="BF5" s="955" t="s">
        <v>257</v>
      </c>
      <c r="BG5" s="956" t="s">
        <v>258</v>
      </c>
      <c r="BH5" s="957" t="s">
        <v>260</v>
      </c>
      <c r="BI5" s="955" t="s">
        <v>257</v>
      </c>
      <c r="BJ5" s="956" t="s">
        <v>258</v>
      </c>
      <c r="BK5" s="957" t="s">
        <v>260</v>
      </c>
      <c r="BL5" s="955" t="s">
        <v>257</v>
      </c>
      <c r="BM5" s="956" t="s">
        <v>258</v>
      </c>
      <c r="BN5" s="957" t="s">
        <v>260</v>
      </c>
      <c r="BO5" s="955" t="s">
        <v>257</v>
      </c>
      <c r="BP5" s="956" t="s">
        <v>258</v>
      </c>
      <c r="BQ5" s="957" t="s">
        <v>260</v>
      </c>
      <c r="BR5" s="955" t="s">
        <v>257</v>
      </c>
      <c r="BS5" s="956" t="s">
        <v>258</v>
      </c>
      <c r="BT5" s="957" t="s">
        <v>260</v>
      </c>
      <c r="BU5" s="955" t="s">
        <v>257</v>
      </c>
      <c r="BV5" s="956" t="s">
        <v>258</v>
      </c>
      <c r="BW5" s="957" t="s">
        <v>260</v>
      </c>
      <c r="BX5" s="956" t="s">
        <v>257</v>
      </c>
      <c r="BY5" s="956" t="s">
        <v>258</v>
      </c>
      <c r="BZ5" s="957" t="s">
        <v>260</v>
      </c>
      <c r="CA5" s="955" t="s">
        <v>257</v>
      </c>
      <c r="CB5" s="956" t="s">
        <v>258</v>
      </c>
      <c r="CC5" s="957" t="s">
        <v>260</v>
      </c>
      <c r="CD5" s="955" t="s">
        <v>257</v>
      </c>
      <c r="CE5" s="956" t="s">
        <v>258</v>
      </c>
      <c r="CF5" s="957" t="s">
        <v>260</v>
      </c>
      <c r="CG5" s="955" t="s">
        <v>257</v>
      </c>
      <c r="CH5" s="956" t="s">
        <v>258</v>
      </c>
      <c r="CI5" s="957" t="s">
        <v>260</v>
      </c>
      <c r="CJ5" s="955" t="s">
        <v>257</v>
      </c>
      <c r="CK5" s="956" t="s">
        <v>258</v>
      </c>
      <c r="CL5" s="957" t="s">
        <v>260</v>
      </c>
      <c r="CM5" s="955" t="s">
        <v>257</v>
      </c>
      <c r="CN5" s="956" t="s">
        <v>258</v>
      </c>
      <c r="CO5" s="957" t="s">
        <v>260</v>
      </c>
      <c r="CP5" s="955" t="s">
        <v>257</v>
      </c>
      <c r="CQ5" s="956" t="s">
        <v>258</v>
      </c>
      <c r="CR5" s="957" t="s">
        <v>260</v>
      </c>
      <c r="CS5" s="955" t="s">
        <v>257</v>
      </c>
      <c r="CT5" s="956" t="s">
        <v>258</v>
      </c>
      <c r="CU5" s="957" t="s">
        <v>260</v>
      </c>
      <c r="CV5" s="955" t="s">
        <v>257</v>
      </c>
      <c r="CW5" s="956" t="s">
        <v>258</v>
      </c>
      <c r="CX5" s="957" t="s">
        <v>260</v>
      </c>
      <c r="CY5" s="955" t="s">
        <v>257</v>
      </c>
      <c r="CZ5" s="956" t="s">
        <v>258</v>
      </c>
      <c r="DA5" s="957" t="s">
        <v>260</v>
      </c>
      <c r="DB5" s="958" t="s">
        <v>257</v>
      </c>
      <c r="DC5" s="959" t="s">
        <v>258</v>
      </c>
      <c r="DD5" s="960" t="s">
        <v>260</v>
      </c>
      <c r="DE5" s="956" t="s">
        <v>257</v>
      </c>
      <c r="DF5" s="956" t="s">
        <v>258</v>
      </c>
      <c r="DG5" s="957" t="s">
        <v>260</v>
      </c>
      <c r="DH5" s="956" t="s">
        <v>257</v>
      </c>
      <c r="DI5" s="956" t="s">
        <v>258</v>
      </c>
      <c r="DJ5" s="957" t="s">
        <v>260</v>
      </c>
      <c r="DK5" s="955" t="s">
        <v>257</v>
      </c>
      <c r="DL5" s="956" t="s">
        <v>258</v>
      </c>
      <c r="DM5" s="957" t="s">
        <v>260</v>
      </c>
      <c r="DN5" s="956" t="s">
        <v>257</v>
      </c>
      <c r="DO5" s="956" t="s">
        <v>258</v>
      </c>
      <c r="DP5" s="957" t="s">
        <v>260</v>
      </c>
      <c r="DQ5" s="956" t="s">
        <v>257</v>
      </c>
      <c r="DR5" s="956" t="s">
        <v>258</v>
      </c>
      <c r="DS5" s="957" t="s">
        <v>260</v>
      </c>
      <c r="DT5" s="956" t="s">
        <v>257</v>
      </c>
      <c r="DU5" s="956" t="s">
        <v>258</v>
      </c>
      <c r="DV5" s="957" t="s">
        <v>260</v>
      </c>
      <c r="DW5" s="961" t="s">
        <v>257</v>
      </c>
      <c r="DX5" s="962" t="s">
        <v>258</v>
      </c>
      <c r="DY5" s="963" t="s">
        <v>260</v>
      </c>
      <c r="DZ5" s="961" t="s">
        <v>257</v>
      </c>
      <c r="EA5" s="962" t="s">
        <v>258</v>
      </c>
      <c r="EB5" s="963" t="s">
        <v>260</v>
      </c>
      <c r="EC5" s="955" t="s">
        <v>257</v>
      </c>
      <c r="ED5" s="956" t="s">
        <v>258</v>
      </c>
      <c r="EE5" s="957" t="s">
        <v>260</v>
      </c>
      <c r="EF5" s="956" t="s">
        <v>257</v>
      </c>
      <c r="EG5" s="956" t="s">
        <v>258</v>
      </c>
      <c r="EH5" s="957" t="s">
        <v>260</v>
      </c>
      <c r="EI5" s="955" t="s">
        <v>257</v>
      </c>
      <c r="EJ5" s="956" t="s">
        <v>258</v>
      </c>
      <c r="EK5" s="957" t="s">
        <v>260</v>
      </c>
      <c r="EL5" s="956" t="s">
        <v>257</v>
      </c>
      <c r="EM5" s="956" t="s">
        <v>258</v>
      </c>
      <c r="EN5" s="957" t="s">
        <v>260</v>
      </c>
      <c r="EO5" s="964" t="s">
        <v>257</v>
      </c>
      <c r="EP5" s="965" t="s">
        <v>258</v>
      </c>
      <c r="EQ5" s="957" t="s">
        <v>260</v>
      </c>
      <c r="ER5" s="956" t="s">
        <v>257</v>
      </c>
      <c r="ES5" s="956" t="s">
        <v>258</v>
      </c>
      <c r="ET5" s="957" t="s">
        <v>260</v>
      </c>
    </row>
    <row r="6" spans="1:153" s="1002" customFormat="1" ht="9.75" thickBot="1" x14ac:dyDescent="0.2">
      <c r="A6" s="966">
        <v>28612</v>
      </c>
      <c r="B6" s="967">
        <v>29978</v>
      </c>
      <c r="C6" s="968">
        <v>118.71</v>
      </c>
      <c r="D6" s="969">
        <v>85503</v>
      </c>
      <c r="E6" s="967">
        <v>89401</v>
      </c>
      <c r="F6" s="968">
        <v>673.03</v>
      </c>
      <c r="G6" s="970"/>
      <c r="H6" s="971"/>
      <c r="I6" s="972"/>
      <c r="J6" s="973"/>
      <c r="K6" s="971"/>
      <c r="L6" s="972"/>
      <c r="M6" s="970"/>
      <c r="N6" s="973"/>
      <c r="O6" s="972"/>
      <c r="P6" s="973"/>
      <c r="Q6" s="971"/>
      <c r="R6" s="972"/>
      <c r="S6" s="970">
        <v>51931</v>
      </c>
      <c r="T6" s="973">
        <v>48450</v>
      </c>
      <c r="U6" s="972">
        <v>186</v>
      </c>
      <c r="V6" s="970">
        <v>136756</v>
      </c>
      <c r="W6" s="971">
        <v>121536</v>
      </c>
      <c r="X6" s="972">
        <v>701</v>
      </c>
      <c r="Y6" s="970">
        <v>11808</v>
      </c>
      <c r="Z6" s="973">
        <v>11844</v>
      </c>
      <c r="AA6" s="972">
        <v>46.25</v>
      </c>
      <c r="AB6" s="970">
        <v>36283</v>
      </c>
      <c r="AC6" s="971">
        <v>36430</v>
      </c>
      <c r="AD6" s="972">
        <v>222.46</v>
      </c>
      <c r="AE6" s="970">
        <v>21474</v>
      </c>
      <c r="AF6" s="971">
        <v>21065</v>
      </c>
      <c r="AG6" s="972">
        <v>87.78</v>
      </c>
      <c r="AH6" s="973">
        <v>48733</v>
      </c>
      <c r="AI6" s="971">
        <v>47657</v>
      </c>
      <c r="AJ6" s="972">
        <v>416.39</v>
      </c>
      <c r="AK6" s="974">
        <v>4560</v>
      </c>
      <c r="AL6" s="975">
        <v>4509</v>
      </c>
      <c r="AM6" s="976">
        <v>23.08</v>
      </c>
      <c r="AN6" s="977">
        <v>8239</v>
      </c>
      <c r="AO6" s="975">
        <v>9109</v>
      </c>
      <c r="AP6" s="976">
        <v>34.840000000000003</v>
      </c>
      <c r="AQ6" s="970">
        <v>7180</v>
      </c>
      <c r="AR6" s="971">
        <v>6917</v>
      </c>
      <c r="AS6" s="972">
        <v>23.07</v>
      </c>
      <c r="AT6" s="970">
        <v>28706</v>
      </c>
      <c r="AU6" s="971">
        <v>27140</v>
      </c>
      <c r="AV6" s="972">
        <v>130.01</v>
      </c>
      <c r="AW6" s="970">
        <v>16473</v>
      </c>
      <c r="AX6" s="971">
        <v>16212</v>
      </c>
      <c r="AY6" s="972">
        <v>43.6</v>
      </c>
      <c r="AZ6" s="970">
        <v>46771</v>
      </c>
      <c r="BA6" s="971">
        <v>45222</v>
      </c>
      <c r="BB6" s="972">
        <v>198.97</v>
      </c>
      <c r="BC6" s="970">
        <v>5306</v>
      </c>
      <c r="BD6" s="971">
        <v>5194</v>
      </c>
      <c r="BE6" s="972">
        <v>17.48</v>
      </c>
      <c r="BF6" s="970">
        <v>18034</v>
      </c>
      <c r="BG6" s="971">
        <v>17319</v>
      </c>
      <c r="BH6" s="972">
        <v>98.9</v>
      </c>
      <c r="BI6" s="978">
        <v>108119</v>
      </c>
      <c r="BJ6" s="973">
        <v>108621</v>
      </c>
      <c r="BK6" s="972">
        <v>568.12</v>
      </c>
      <c r="BL6" s="970">
        <v>336068</v>
      </c>
      <c r="BM6" s="971">
        <v>339895</v>
      </c>
      <c r="BN6" s="972">
        <v>3633.32</v>
      </c>
      <c r="BO6" s="979">
        <v>52270</v>
      </c>
      <c r="BP6" s="980">
        <v>50841</v>
      </c>
      <c r="BQ6" s="981">
        <v>281</v>
      </c>
      <c r="BR6" s="979">
        <v>224446</v>
      </c>
      <c r="BS6" s="980">
        <v>217136</v>
      </c>
      <c r="BT6" s="981">
        <v>2381</v>
      </c>
      <c r="BU6" s="970">
        <v>4479</v>
      </c>
      <c r="BV6" s="971">
        <v>3930</v>
      </c>
      <c r="BW6" s="972">
        <v>55.34</v>
      </c>
      <c r="BX6" s="973">
        <v>11207</v>
      </c>
      <c r="BY6" s="971">
        <v>9629</v>
      </c>
      <c r="BZ6" s="972">
        <v>138.41</v>
      </c>
      <c r="CA6" s="970"/>
      <c r="CB6" s="971"/>
      <c r="CC6" s="972"/>
      <c r="CD6" s="970"/>
      <c r="CE6" s="971"/>
      <c r="CF6" s="981"/>
      <c r="CG6" s="970">
        <v>33477</v>
      </c>
      <c r="CH6" s="971">
        <v>33209</v>
      </c>
      <c r="CI6" s="972">
        <v>87.62</v>
      </c>
      <c r="CJ6" s="970">
        <v>100571</v>
      </c>
      <c r="CK6" s="971">
        <v>100571</v>
      </c>
      <c r="CL6" s="972">
        <v>860.37</v>
      </c>
      <c r="CM6" s="970">
        <v>77777</v>
      </c>
      <c r="CN6" s="971">
        <v>75474</v>
      </c>
      <c r="CO6" s="972">
        <v>513.20000000000005</v>
      </c>
      <c r="CP6" s="970">
        <v>205414</v>
      </c>
      <c r="CQ6" s="971">
        <v>196738</v>
      </c>
      <c r="CR6" s="972">
        <v>1823.97</v>
      </c>
      <c r="CS6" s="970">
        <v>29439</v>
      </c>
      <c r="CT6" s="971">
        <v>29439</v>
      </c>
      <c r="CU6" s="972">
        <v>139.35</v>
      </c>
      <c r="CV6" s="970">
        <v>70741</v>
      </c>
      <c r="CW6" s="971">
        <v>66523</v>
      </c>
      <c r="CX6" s="972">
        <v>397.78</v>
      </c>
      <c r="CY6" s="982"/>
      <c r="CZ6" s="983"/>
      <c r="DA6" s="984"/>
      <c r="DB6" s="985"/>
      <c r="DC6" s="986"/>
      <c r="DD6" s="987"/>
      <c r="DE6" s="973"/>
      <c r="DF6" s="971"/>
      <c r="DG6" s="972"/>
      <c r="DH6" s="973"/>
      <c r="DI6" s="971"/>
      <c r="DJ6" s="972"/>
      <c r="DK6" s="988">
        <v>152834</v>
      </c>
      <c r="DL6" s="988">
        <v>152834</v>
      </c>
      <c r="DM6" s="989">
        <v>776</v>
      </c>
      <c r="DN6" s="990">
        <v>445789</v>
      </c>
      <c r="DO6" s="988">
        <v>445789</v>
      </c>
      <c r="DP6" s="989">
        <v>3431</v>
      </c>
      <c r="DQ6" s="991">
        <v>44368</v>
      </c>
      <c r="DR6" s="991">
        <v>43770</v>
      </c>
      <c r="DS6" s="992">
        <v>77.11</v>
      </c>
      <c r="DT6" s="991">
        <v>54488</v>
      </c>
      <c r="DU6" s="991">
        <v>53317</v>
      </c>
      <c r="DV6" s="992">
        <v>124.41</v>
      </c>
      <c r="DW6" s="993">
        <v>12108</v>
      </c>
      <c r="DX6" s="994">
        <v>12108</v>
      </c>
      <c r="DY6" s="995">
        <v>85.82</v>
      </c>
      <c r="DZ6" s="996">
        <v>21103</v>
      </c>
      <c r="EA6" s="997">
        <v>21103</v>
      </c>
      <c r="EB6" s="998">
        <v>193.21</v>
      </c>
      <c r="EC6" s="999"/>
      <c r="ED6" s="999"/>
      <c r="EE6" s="952"/>
      <c r="EF6" s="999"/>
      <c r="EG6" s="999"/>
      <c r="EH6" s="952"/>
      <c r="EI6" s="970"/>
      <c r="EJ6" s="971"/>
      <c r="EK6" s="972"/>
      <c r="EL6" s="973"/>
      <c r="EM6" s="971"/>
      <c r="EN6" s="972"/>
      <c r="EO6" s="1000"/>
      <c r="EP6" s="1000"/>
      <c r="EQ6" s="1001"/>
      <c r="ER6" s="1000"/>
      <c r="ES6" s="1000"/>
      <c r="ET6" s="1001"/>
      <c r="EW6" s="1003"/>
    </row>
    <row r="7" spans="1:153" x14ac:dyDescent="0.15">
      <c r="A7" s="1004"/>
      <c r="B7" s="1005"/>
      <c r="C7" s="1006"/>
      <c r="D7" s="1007"/>
      <c r="E7" s="1005"/>
      <c r="F7" s="1006"/>
      <c r="G7" s="1008"/>
      <c r="H7" s="1009"/>
      <c r="I7" s="1010"/>
      <c r="J7" s="1011"/>
      <c r="K7" s="1009"/>
      <c r="L7" s="1012"/>
      <c r="M7" s="1008"/>
      <c r="N7" s="1011"/>
      <c r="O7" s="1010"/>
      <c r="P7" s="1011"/>
      <c r="Q7" s="1009"/>
      <c r="R7" s="1010"/>
      <c r="S7" s="1008"/>
      <c r="T7" s="1011"/>
      <c r="U7" s="1010"/>
      <c r="V7" s="1008"/>
      <c r="W7" s="1009"/>
      <c r="X7" s="1010"/>
      <c r="Y7" s="1008"/>
      <c r="Z7" s="1011"/>
      <c r="AA7" s="1010"/>
      <c r="AB7" s="1008"/>
      <c r="AC7" s="1009"/>
      <c r="AD7" s="1010"/>
      <c r="AE7" s="1008"/>
      <c r="AF7" s="1013"/>
      <c r="AG7" s="1014"/>
      <c r="AH7" s="1011"/>
      <c r="AI7" s="1009"/>
      <c r="AJ7" s="1010"/>
      <c r="AK7" s="1015"/>
      <c r="AL7" s="1016"/>
      <c r="AM7" s="1017"/>
      <c r="AN7" s="1018"/>
      <c r="AO7" s="1016"/>
      <c r="AP7" s="1019"/>
      <c r="AQ7" s="1008"/>
      <c r="AR7" s="1009"/>
      <c r="AS7" s="1010"/>
      <c r="AT7" s="1008"/>
      <c r="AU7" s="1009"/>
      <c r="AV7" s="1010"/>
      <c r="AW7" s="1008"/>
      <c r="AX7" s="1009"/>
      <c r="AY7" s="1010"/>
      <c r="AZ7" s="1008"/>
      <c r="BA7" s="1009"/>
      <c r="BB7" s="1010"/>
      <c r="BC7" s="1008"/>
      <c r="BD7" s="1009"/>
      <c r="BE7" s="1010"/>
      <c r="BF7" s="1008"/>
      <c r="BG7" s="1009"/>
      <c r="BH7" s="1010"/>
      <c r="BI7" s="1020"/>
      <c r="BJ7" s="1011"/>
      <c r="BK7" s="1021"/>
      <c r="BL7" s="1008"/>
      <c r="BM7" s="1009"/>
      <c r="BN7" s="1010"/>
      <c r="BO7" s="1008"/>
      <c r="BP7" s="1009"/>
      <c r="BQ7" s="1010"/>
      <c r="BR7" s="1008"/>
      <c r="BS7" s="1009"/>
      <c r="BT7" s="1010"/>
      <c r="BU7" s="1022"/>
      <c r="BV7" s="1023"/>
      <c r="BW7" s="1024"/>
      <c r="BX7" s="1025"/>
      <c r="BY7" s="1023"/>
      <c r="BZ7" s="1012"/>
      <c r="CA7" s="1008"/>
      <c r="CB7" s="1009"/>
      <c r="CC7" s="1010"/>
      <c r="CD7" s="1008"/>
      <c r="CE7" s="1009"/>
      <c r="CF7" s="1010"/>
      <c r="CG7" s="1008"/>
      <c r="CH7" s="1009"/>
      <c r="CI7" s="1010"/>
      <c r="CJ7" s="1008"/>
      <c r="CK7" s="1009"/>
      <c r="CL7" s="1010"/>
      <c r="CM7" s="1008"/>
      <c r="CN7" s="1009"/>
      <c r="CO7" s="1010"/>
      <c r="CP7" s="1008"/>
      <c r="CQ7" s="1009"/>
      <c r="CR7" s="1010"/>
      <c r="CS7" s="1008"/>
      <c r="CT7" s="1009"/>
      <c r="CU7" s="1010"/>
      <c r="CV7" s="1008"/>
      <c r="CW7" s="1009"/>
      <c r="CX7" s="1010"/>
      <c r="CY7" s="1008"/>
      <c r="CZ7" s="1009"/>
      <c r="DA7" s="1010"/>
      <c r="DB7" s="1008"/>
      <c r="DC7" s="1009"/>
      <c r="DD7" s="1010"/>
      <c r="DE7" s="1026"/>
      <c r="DF7" s="1009"/>
      <c r="DG7" s="1010"/>
      <c r="DH7" s="1011"/>
      <c r="DI7" s="1009"/>
      <c r="DJ7" s="1010"/>
      <c r="DK7" s="1008"/>
      <c r="DL7" s="1011"/>
      <c r="DM7" s="1010"/>
      <c r="DN7" s="1027"/>
      <c r="DO7" s="1028"/>
      <c r="DP7" s="1029"/>
      <c r="DQ7" s="1030"/>
      <c r="DR7" s="1031"/>
      <c r="DS7" s="1032"/>
      <c r="DT7" s="1030"/>
      <c r="DU7" s="1031"/>
      <c r="DV7" s="1032"/>
      <c r="DW7" s="1033"/>
      <c r="DX7" s="1034"/>
      <c r="DY7" s="1035"/>
      <c r="DZ7" s="1036"/>
      <c r="EA7" s="1034"/>
      <c r="EB7" s="1035"/>
      <c r="EC7" s="1011"/>
      <c r="ED7" s="1009"/>
      <c r="EE7" s="1010"/>
      <c r="EF7" s="1011"/>
      <c r="EG7" s="1009"/>
      <c r="EH7" s="1012"/>
      <c r="EI7" s="1033"/>
      <c r="EJ7" s="1034"/>
      <c r="EK7" s="1035"/>
      <c r="EL7" s="1036"/>
      <c r="EM7" s="1034"/>
      <c r="EN7" s="1035"/>
      <c r="EO7" s="1037"/>
      <c r="EP7" s="1037"/>
      <c r="EQ7" s="1038"/>
      <c r="ER7" s="1037"/>
      <c r="ES7" s="1037"/>
      <c r="ET7" s="1038"/>
    </row>
    <row r="8" spans="1:153" x14ac:dyDescent="0.15">
      <c r="A8" s="1004"/>
      <c r="B8" s="1005"/>
      <c r="C8" s="1006"/>
      <c r="D8" s="1007"/>
      <c r="E8" s="1005"/>
      <c r="F8" s="1006"/>
      <c r="G8" s="1008"/>
      <c r="H8" s="1009"/>
      <c r="I8" s="1010"/>
      <c r="J8" s="1011"/>
      <c r="K8" s="1009"/>
      <c r="L8" s="1012"/>
      <c r="M8" s="1008"/>
      <c r="N8" s="1011"/>
      <c r="O8" s="1010"/>
      <c r="P8" s="1011"/>
      <c r="Q8" s="1009"/>
      <c r="R8" s="1010"/>
      <c r="S8" s="1008"/>
      <c r="T8" s="1011"/>
      <c r="U8" s="1010"/>
      <c r="V8" s="1008"/>
      <c r="W8" s="1009"/>
      <c r="X8" s="1010"/>
      <c r="Y8" s="1008"/>
      <c r="Z8" s="1011"/>
      <c r="AA8" s="1010"/>
      <c r="AB8" s="1008"/>
      <c r="AC8" s="1009"/>
      <c r="AD8" s="1010"/>
      <c r="AE8" s="1039"/>
      <c r="AF8" s="1013"/>
      <c r="AG8" s="1014"/>
      <c r="AH8" s="1040"/>
      <c r="AI8" s="1009"/>
      <c r="AJ8" s="1010"/>
      <c r="AK8" s="1039"/>
      <c r="AL8" s="1041"/>
      <c r="AM8" s="1042"/>
      <c r="AN8" s="1040"/>
      <c r="AO8" s="1041"/>
      <c r="AP8" s="1043"/>
      <c r="AQ8" s="1008"/>
      <c r="AR8" s="1009"/>
      <c r="AS8" s="1010"/>
      <c r="AT8" s="1008"/>
      <c r="AU8" s="1009"/>
      <c r="AV8" s="1010"/>
      <c r="AW8" s="1008"/>
      <c r="AX8" s="1009"/>
      <c r="AY8" s="1010"/>
      <c r="AZ8" s="1008"/>
      <c r="BA8" s="1009"/>
      <c r="BB8" s="1010"/>
      <c r="BC8" s="1008"/>
      <c r="BD8" s="1009"/>
      <c r="BE8" s="1010"/>
      <c r="BF8" s="1008"/>
      <c r="BG8" s="1009"/>
      <c r="BH8" s="1042"/>
      <c r="BI8" s="1044"/>
      <c r="BJ8" s="1040"/>
      <c r="BK8" s="1042"/>
      <c r="BL8" s="1039"/>
      <c r="BM8" s="1041"/>
      <c r="BN8" s="1042"/>
      <c r="BO8" s="1008"/>
      <c r="BP8" s="1009"/>
      <c r="BQ8" s="1010"/>
      <c r="BR8" s="1008"/>
      <c r="BS8" s="1009"/>
      <c r="BT8" s="1010"/>
      <c r="BU8" s="1045"/>
      <c r="BV8" s="1046"/>
      <c r="BW8" s="1047"/>
      <c r="BX8" s="1048"/>
      <c r="BY8" s="1046"/>
      <c r="BZ8" s="1047"/>
      <c r="CA8" s="1008"/>
      <c r="CB8" s="1009"/>
      <c r="CC8" s="1010"/>
      <c r="CD8" s="1008"/>
      <c r="CE8" s="1009"/>
      <c r="CF8" s="1010"/>
      <c r="CG8" s="1008"/>
      <c r="CH8" s="1009"/>
      <c r="CI8" s="1010"/>
      <c r="CJ8" s="1008"/>
      <c r="CK8" s="1009"/>
      <c r="CL8" s="1010"/>
      <c r="CM8" s="1008"/>
      <c r="CN8" s="1009"/>
      <c r="CO8" s="1010"/>
      <c r="CP8" s="1008"/>
      <c r="CQ8" s="1009"/>
      <c r="CR8" s="1010"/>
      <c r="CS8" s="1008"/>
      <c r="CT8" s="1009"/>
      <c r="CU8" s="1010"/>
      <c r="CV8" s="1008"/>
      <c r="CW8" s="1009"/>
      <c r="CX8" s="1010"/>
      <c r="CY8" s="1008"/>
      <c r="CZ8" s="1009"/>
      <c r="DA8" s="1010"/>
      <c r="DB8" s="1008"/>
      <c r="DC8" s="1009"/>
      <c r="DD8" s="1010"/>
      <c r="DE8" s="1026"/>
      <c r="DF8" s="1009"/>
      <c r="DG8" s="1010"/>
      <c r="DH8" s="1011"/>
      <c r="DI8" s="1009"/>
      <c r="DJ8" s="1010"/>
      <c r="DK8" s="1008"/>
      <c r="DL8" s="1011"/>
      <c r="DM8" s="1010"/>
      <c r="DN8" s="1027"/>
      <c r="DO8" s="1028"/>
      <c r="DP8" s="1029"/>
      <c r="DQ8" s="1030"/>
      <c r="DR8" s="1031"/>
      <c r="DS8" s="1032"/>
      <c r="DT8" s="1030"/>
      <c r="DU8" s="1031"/>
      <c r="DV8" s="1032"/>
      <c r="DW8" s="1033"/>
      <c r="DX8" s="1034"/>
      <c r="DY8" s="1035"/>
      <c r="DZ8" s="1036"/>
      <c r="EA8" s="1034"/>
      <c r="EB8" s="1035"/>
      <c r="EC8" s="1011"/>
      <c r="ED8" s="1009"/>
      <c r="EE8" s="1010"/>
      <c r="EF8" s="1011"/>
      <c r="EG8" s="1009"/>
      <c r="EH8" s="1012"/>
      <c r="EI8" s="1033"/>
      <c r="EJ8" s="1034"/>
      <c r="EK8" s="1035"/>
      <c r="EL8" s="1036"/>
      <c r="EM8" s="1034"/>
      <c r="EN8" s="1035"/>
      <c r="EO8" s="1037"/>
      <c r="EP8" s="1037"/>
      <c r="EQ8" s="1038"/>
      <c r="ER8" s="1037"/>
      <c r="ES8" s="1037"/>
      <c r="ET8" s="1038"/>
    </row>
    <row r="9" spans="1:153" x14ac:dyDescent="0.15">
      <c r="A9" s="1004"/>
      <c r="B9" s="1005"/>
      <c r="C9" s="1006"/>
      <c r="D9" s="1007"/>
      <c r="E9" s="1005"/>
      <c r="F9" s="1006"/>
      <c r="G9" s="1008"/>
      <c r="H9" s="1009"/>
      <c r="I9" s="1010"/>
      <c r="J9" s="1011"/>
      <c r="K9" s="1009"/>
      <c r="L9" s="1012"/>
      <c r="M9" s="1008"/>
      <c r="N9" s="1011"/>
      <c r="O9" s="1010"/>
      <c r="P9" s="1011"/>
      <c r="Q9" s="1009"/>
      <c r="R9" s="1010"/>
      <c r="S9" s="1008"/>
      <c r="T9" s="1011"/>
      <c r="U9" s="1010"/>
      <c r="V9" s="1008"/>
      <c r="W9" s="1009"/>
      <c r="X9" s="1010"/>
      <c r="Y9" s="1008"/>
      <c r="Z9" s="1011"/>
      <c r="AA9" s="1010"/>
      <c r="AB9" s="1008"/>
      <c r="AC9" s="1009"/>
      <c r="AD9" s="1010"/>
      <c r="AE9" s="1008"/>
      <c r="AF9" s="1013"/>
      <c r="AG9" s="1014"/>
      <c r="AH9" s="1011"/>
      <c r="AI9" s="1009"/>
      <c r="AJ9" s="1010"/>
      <c r="AK9" s="1008"/>
      <c r="AL9" s="1009"/>
      <c r="AM9" s="1010"/>
      <c r="AN9" s="1011"/>
      <c r="AO9" s="1009"/>
      <c r="AP9" s="1012"/>
      <c r="AQ9" s="1008"/>
      <c r="AR9" s="1009"/>
      <c r="AS9" s="1010"/>
      <c r="AT9" s="1008"/>
      <c r="AU9" s="1009"/>
      <c r="AV9" s="1010"/>
      <c r="AW9" s="1008"/>
      <c r="AX9" s="1009"/>
      <c r="AY9" s="1010"/>
      <c r="AZ9" s="1008"/>
      <c r="BA9" s="1009"/>
      <c r="BB9" s="1010"/>
      <c r="BC9" s="1008"/>
      <c r="BD9" s="1009"/>
      <c r="BE9" s="1010"/>
      <c r="BF9" s="1008"/>
      <c r="BG9" s="1009"/>
      <c r="BH9" s="1010"/>
      <c r="BI9" s="1020"/>
      <c r="BJ9" s="1011"/>
      <c r="BK9" s="1042"/>
      <c r="BL9" s="1008"/>
      <c r="BM9" s="1009"/>
      <c r="BN9" s="1010"/>
      <c r="BO9" s="1008"/>
      <c r="BP9" s="1009"/>
      <c r="BQ9" s="1010"/>
      <c r="BR9" s="1008"/>
      <c r="BS9" s="1009"/>
      <c r="BT9" s="1010"/>
      <c r="BU9" s="1022"/>
      <c r="BV9" s="1023"/>
      <c r="BW9" s="1024"/>
      <c r="BX9" s="1025"/>
      <c r="BY9" s="1023"/>
      <c r="BZ9" s="1012"/>
      <c r="CA9" s="1008"/>
      <c r="CB9" s="1009"/>
      <c r="CC9" s="1010"/>
      <c r="CD9" s="1008"/>
      <c r="CE9" s="1009"/>
      <c r="CF9" s="1010"/>
      <c r="CG9" s="1008"/>
      <c r="CH9" s="1009"/>
      <c r="CI9" s="1010"/>
      <c r="CJ9" s="1008"/>
      <c r="CK9" s="1009"/>
      <c r="CL9" s="1010"/>
      <c r="CM9" s="1008"/>
      <c r="CN9" s="1009"/>
      <c r="CO9" s="1010"/>
      <c r="CP9" s="1008"/>
      <c r="CQ9" s="1009"/>
      <c r="CR9" s="1010"/>
      <c r="CS9" s="1008"/>
      <c r="CT9" s="1009"/>
      <c r="CU9" s="1010"/>
      <c r="CV9" s="1008"/>
      <c r="CW9" s="1009"/>
      <c r="CX9" s="1010"/>
      <c r="CY9" s="1008"/>
      <c r="CZ9" s="1009"/>
      <c r="DA9" s="1010"/>
      <c r="DB9" s="1008"/>
      <c r="DC9" s="1009"/>
      <c r="DD9" s="1010"/>
      <c r="DE9" s="1026"/>
      <c r="DF9" s="1009"/>
      <c r="DG9" s="1010"/>
      <c r="DH9" s="1011"/>
      <c r="DI9" s="1009"/>
      <c r="DJ9" s="1010"/>
      <c r="DK9" s="1008"/>
      <c r="DL9" s="1011"/>
      <c r="DM9" s="1010"/>
      <c r="DN9" s="1027"/>
      <c r="DO9" s="1028"/>
      <c r="DP9" s="1029"/>
      <c r="DQ9" s="1030"/>
      <c r="DR9" s="1031"/>
      <c r="DS9" s="1032"/>
      <c r="DT9" s="1030"/>
      <c r="DU9" s="1031"/>
      <c r="DV9" s="1032"/>
      <c r="DW9" s="1033"/>
      <c r="DX9" s="1034"/>
      <c r="DY9" s="1035"/>
      <c r="DZ9" s="1036"/>
      <c r="EA9" s="1034"/>
      <c r="EB9" s="1035"/>
      <c r="EC9" s="1011"/>
      <c r="ED9" s="1009"/>
      <c r="EE9" s="1010"/>
      <c r="EF9" s="1011"/>
      <c r="EG9" s="1009"/>
      <c r="EH9" s="1012"/>
      <c r="EI9" s="1033"/>
      <c r="EJ9" s="1034"/>
      <c r="EK9" s="1035"/>
      <c r="EL9" s="1036"/>
      <c r="EM9" s="1034"/>
      <c r="EN9" s="1035"/>
      <c r="EO9" s="1037"/>
      <c r="EP9" s="1037"/>
      <c r="EQ9" s="1038"/>
      <c r="ER9" s="1037"/>
      <c r="ES9" s="1037"/>
      <c r="ET9" s="1038"/>
    </row>
    <row r="10" spans="1:153" ht="9.75" thickBot="1" x14ac:dyDescent="0.2">
      <c r="A10" s="1049"/>
      <c r="B10" s="1050"/>
      <c r="C10" s="1051"/>
      <c r="D10" s="1052"/>
      <c r="E10" s="1050"/>
      <c r="F10" s="1051"/>
      <c r="G10" s="1053"/>
      <c r="H10" s="1054"/>
      <c r="I10" s="1055"/>
      <c r="J10" s="1056"/>
      <c r="K10" s="1054"/>
      <c r="L10" s="1057"/>
      <c r="M10" s="1053"/>
      <c r="N10" s="1056"/>
      <c r="O10" s="1055"/>
      <c r="P10" s="1056"/>
      <c r="Q10" s="1054"/>
      <c r="R10" s="1055"/>
      <c r="S10" s="1053"/>
      <c r="T10" s="1056"/>
      <c r="U10" s="1055"/>
      <c r="V10" s="1053"/>
      <c r="W10" s="1054"/>
      <c r="X10" s="1055"/>
      <c r="Y10" s="1053"/>
      <c r="Z10" s="1056"/>
      <c r="AA10" s="1055"/>
      <c r="AB10" s="1053"/>
      <c r="AC10" s="1054"/>
      <c r="AD10" s="1055"/>
      <c r="AE10" s="1058"/>
      <c r="AF10" s="1059"/>
      <c r="AG10" s="1060"/>
      <c r="AH10" s="1061"/>
      <c r="AI10" s="1054"/>
      <c r="AJ10" s="1055"/>
      <c r="AK10" s="1053"/>
      <c r="AL10" s="1054"/>
      <c r="AM10" s="1055"/>
      <c r="AN10" s="1056"/>
      <c r="AO10" s="1054"/>
      <c r="AP10" s="1057"/>
      <c r="AQ10" s="1053"/>
      <c r="AR10" s="1054"/>
      <c r="AS10" s="1055"/>
      <c r="AT10" s="1053"/>
      <c r="AU10" s="1054"/>
      <c r="AV10" s="1055"/>
      <c r="AW10" s="1053"/>
      <c r="AX10" s="1054"/>
      <c r="AY10" s="1055"/>
      <c r="AZ10" s="1053"/>
      <c r="BA10" s="1054"/>
      <c r="BB10" s="1055"/>
      <c r="BC10" s="1053"/>
      <c r="BD10" s="1054"/>
      <c r="BE10" s="1055"/>
      <c r="BF10" s="1053"/>
      <c r="BG10" s="1054"/>
      <c r="BH10" s="1062"/>
      <c r="BI10" s="1063"/>
      <c r="BJ10" s="1061"/>
      <c r="BK10" s="1062"/>
      <c r="BL10" s="1058"/>
      <c r="BM10" s="1064"/>
      <c r="BN10" s="1062"/>
      <c r="BO10" s="1053"/>
      <c r="BP10" s="1054"/>
      <c r="BQ10" s="1055"/>
      <c r="BR10" s="1053"/>
      <c r="BS10" s="1054"/>
      <c r="BT10" s="1055"/>
      <c r="BU10" s="1065"/>
      <c r="BV10" s="1066"/>
      <c r="BW10" s="1067"/>
      <c r="BX10" s="1068"/>
      <c r="BY10" s="1066"/>
      <c r="BZ10" s="1057"/>
      <c r="CA10" s="1053"/>
      <c r="CB10" s="1054"/>
      <c r="CC10" s="1055"/>
      <c r="CD10" s="1053"/>
      <c r="CE10" s="1054"/>
      <c r="CF10" s="1055"/>
      <c r="CG10" s="1053"/>
      <c r="CH10" s="1054"/>
      <c r="CI10" s="1055"/>
      <c r="CJ10" s="1053"/>
      <c r="CK10" s="1054"/>
      <c r="CL10" s="1055"/>
      <c r="CM10" s="1053"/>
      <c r="CN10" s="1054"/>
      <c r="CO10" s="1055"/>
      <c r="CP10" s="1053"/>
      <c r="CQ10" s="1054"/>
      <c r="CR10" s="1055"/>
      <c r="CS10" s="1053"/>
      <c r="CT10" s="1054"/>
      <c r="CU10" s="1055"/>
      <c r="CV10" s="1053"/>
      <c r="CW10" s="1054"/>
      <c r="CX10" s="1055"/>
      <c r="CY10" s="1053"/>
      <c r="CZ10" s="1054"/>
      <c r="DA10" s="1055"/>
      <c r="DB10" s="1053"/>
      <c r="DC10" s="1054"/>
      <c r="DD10" s="1055"/>
      <c r="DE10" s="1069"/>
      <c r="DF10" s="1054"/>
      <c r="DG10" s="1055"/>
      <c r="DH10" s="1056"/>
      <c r="DI10" s="1054"/>
      <c r="DJ10" s="1055"/>
      <c r="DK10" s="1053"/>
      <c r="DL10" s="1056"/>
      <c r="DM10" s="1055"/>
      <c r="DN10" s="1070"/>
      <c r="DO10" s="1071"/>
      <c r="DP10" s="1072"/>
      <c r="DQ10" s="1073"/>
      <c r="DR10" s="1074"/>
      <c r="DS10" s="1075"/>
      <c r="DT10" s="1073"/>
      <c r="DU10" s="1074"/>
      <c r="DV10" s="1075"/>
      <c r="DW10" s="1076"/>
      <c r="DX10" s="1077"/>
      <c r="DY10" s="1078"/>
      <c r="DZ10" s="1079"/>
      <c r="EA10" s="1077"/>
      <c r="EB10" s="1078"/>
      <c r="EC10" s="1056"/>
      <c r="ED10" s="1054"/>
      <c r="EE10" s="1055"/>
      <c r="EF10" s="1056"/>
      <c r="EG10" s="1054"/>
      <c r="EH10" s="1057"/>
      <c r="EI10" s="1076"/>
      <c r="EJ10" s="1077"/>
      <c r="EK10" s="1078"/>
      <c r="EL10" s="1079"/>
      <c r="EM10" s="1077"/>
      <c r="EN10" s="1078"/>
      <c r="EO10" s="1080"/>
      <c r="EP10" s="1080"/>
      <c r="EQ10" s="1081"/>
      <c r="ER10" s="1080"/>
      <c r="ES10" s="1080"/>
      <c r="ET10" s="1081"/>
    </row>
  </sheetData>
  <mergeCells count="76">
    <mergeCell ref="EL4:EN4"/>
    <mergeCell ref="EO3:ET3"/>
    <mergeCell ref="EO4:EQ4"/>
    <mergeCell ref="ER4:ET4"/>
    <mergeCell ref="DN4:DP4"/>
    <mergeCell ref="DQ4:DS4"/>
    <mergeCell ref="DT4:DV4"/>
    <mergeCell ref="DW4:DY4"/>
    <mergeCell ref="DZ4:EB4"/>
    <mergeCell ref="EC4:EE4"/>
    <mergeCell ref="CV4:CX4"/>
    <mergeCell ref="CY4:DA4"/>
    <mergeCell ref="DB4:DD4"/>
    <mergeCell ref="DE4:DG4"/>
    <mergeCell ref="DH4:DJ4"/>
    <mergeCell ref="DK4:DM4"/>
    <mergeCell ref="CD4:CF4"/>
    <mergeCell ref="CG4:CI4"/>
    <mergeCell ref="CJ4:CL4"/>
    <mergeCell ref="CM4:CO4"/>
    <mergeCell ref="CP4:CR4"/>
    <mergeCell ref="CS4:CU4"/>
    <mergeCell ref="BL4:BN4"/>
    <mergeCell ref="BO4:BQ4"/>
    <mergeCell ref="BR4:BT4"/>
    <mergeCell ref="BU4:BW4"/>
    <mergeCell ref="BX4:BZ4"/>
    <mergeCell ref="CA4:CC4"/>
    <mergeCell ref="AN4:AP4"/>
    <mergeCell ref="AQ4:AS4"/>
    <mergeCell ref="EF4:EH4"/>
    <mergeCell ref="EI4:EK4"/>
    <mergeCell ref="AT4:AV4"/>
    <mergeCell ref="AW4:AY4"/>
    <mergeCell ref="AZ4:BB4"/>
    <mergeCell ref="BC4:BE4"/>
    <mergeCell ref="BF4:BH4"/>
    <mergeCell ref="BI4:BK4"/>
    <mergeCell ref="S4:U4"/>
    <mergeCell ref="V4:X4"/>
    <mergeCell ref="Y4:AA4"/>
    <mergeCell ref="AB4:AD4"/>
    <mergeCell ref="AH4:AJ4"/>
    <mergeCell ref="AK4:AM4"/>
    <mergeCell ref="DW3:EB3"/>
    <mergeCell ref="EC3:EH3"/>
    <mergeCell ref="EI3:EN3"/>
    <mergeCell ref="A4:C4"/>
    <mergeCell ref="D4:F4"/>
    <mergeCell ref="G4:I4"/>
    <mergeCell ref="J4:L4"/>
    <mergeCell ref="AE4:AG4"/>
    <mergeCell ref="M4:O4"/>
    <mergeCell ref="P4:R4"/>
    <mergeCell ref="CM3:CR3"/>
    <mergeCell ref="CS3:CX3"/>
    <mergeCell ref="CY3:DD3"/>
    <mergeCell ref="DE3:DJ3"/>
    <mergeCell ref="DK3:DP3"/>
    <mergeCell ref="DQ3:DV3"/>
    <mergeCell ref="BC3:BH3"/>
    <mergeCell ref="BJ3:BN3"/>
    <mergeCell ref="BO3:BT3"/>
    <mergeCell ref="BU3:BZ3"/>
    <mergeCell ref="CA3:CF3"/>
    <mergeCell ref="CG3:CL3"/>
    <mergeCell ref="A2:EN2"/>
    <mergeCell ref="A3:F3"/>
    <mergeCell ref="G3:L3"/>
    <mergeCell ref="M3:R3"/>
    <mergeCell ref="S3:X3"/>
    <mergeCell ref="Y3:AD3"/>
    <mergeCell ref="AE3:AJ3"/>
    <mergeCell ref="AK3:AP3"/>
    <mergeCell ref="AQ3:AV3"/>
    <mergeCell ref="AW3:BB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BA21"/>
  <sheetViews>
    <sheetView workbookViewId="0">
      <pane xSplit="1" topLeftCell="AZ1" activePane="topRight" state="frozen"/>
      <selection pane="topRight" activeCell="AY11" sqref="AY11"/>
    </sheetView>
  </sheetViews>
  <sheetFormatPr defaultRowHeight="13.5" x14ac:dyDescent="0.25"/>
  <cols>
    <col min="1" max="1" width="23.7109375" style="59" bestFit="1" customWidth="1"/>
    <col min="2" max="53" width="12.85546875" style="59" bestFit="1" customWidth="1"/>
    <col min="54" max="16384" width="9.140625" style="59"/>
  </cols>
  <sheetData>
    <row r="1" spans="1:53" x14ac:dyDescent="0.25">
      <c r="A1" s="1314" t="s">
        <v>253</v>
      </c>
      <c r="B1" s="1314"/>
      <c r="C1" s="1314"/>
      <c r="D1" s="1314"/>
      <c r="E1" s="1314"/>
      <c r="F1" s="1314"/>
      <c r="G1" s="1314"/>
      <c r="H1" s="1314"/>
      <c r="I1" s="1314"/>
      <c r="J1" s="1314"/>
      <c r="K1" s="1314"/>
      <c r="L1" s="1314"/>
      <c r="M1" s="1314"/>
      <c r="N1" s="1314"/>
      <c r="O1" s="1314"/>
      <c r="P1" s="1314"/>
      <c r="Q1" s="1314"/>
      <c r="R1" s="1314"/>
      <c r="S1" s="1314"/>
      <c r="T1" s="1314"/>
      <c r="U1" s="1314"/>
      <c r="V1" s="1314"/>
      <c r="W1" s="1314"/>
      <c r="X1" s="1314"/>
      <c r="Y1" s="1314"/>
      <c r="Z1" s="1314"/>
      <c r="AA1" s="1314"/>
      <c r="AB1" s="1314"/>
      <c r="AC1" s="1314"/>
      <c r="AD1" s="1314"/>
      <c r="AE1" s="1314"/>
      <c r="AF1" s="1314"/>
      <c r="AG1" s="1314"/>
      <c r="AH1" s="1314"/>
      <c r="AI1" s="1314"/>
      <c r="AJ1" s="1314"/>
      <c r="AK1" s="1314"/>
      <c r="AL1" s="1314"/>
      <c r="AM1" s="1314"/>
      <c r="AN1" s="1314"/>
      <c r="AO1" s="1314"/>
      <c r="AP1" s="1314"/>
      <c r="AQ1" s="1314"/>
      <c r="AR1" s="1314"/>
      <c r="AS1" s="1314"/>
      <c r="AT1" s="1314"/>
      <c r="AU1" s="1314"/>
      <c r="AV1" s="1314"/>
      <c r="AW1" s="1314"/>
      <c r="AX1" s="1314"/>
      <c r="AY1" s="1314"/>
      <c r="AZ1" s="1314"/>
    </row>
    <row r="2" spans="1:53" ht="16.5" thickBot="1" x14ac:dyDescent="0.4">
      <c r="A2" s="1218" t="s">
        <v>151</v>
      </c>
      <c r="B2" s="1218"/>
      <c r="C2" s="1218"/>
      <c r="D2" s="1218"/>
      <c r="E2" s="1218"/>
      <c r="F2" s="1218"/>
      <c r="G2" s="1218"/>
      <c r="H2" s="1218"/>
      <c r="I2" s="1218"/>
      <c r="J2" s="1218"/>
      <c r="K2" s="1218"/>
      <c r="L2" s="1218"/>
      <c r="M2" s="1218"/>
      <c r="N2" s="1218"/>
      <c r="O2" s="1218"/>
      <c r="P2" s="1218"/>
      <c r="Q2" s="1218"/>
      <c r="R2" s="1218"/>
      <c r="S2" s="1218"/>
      <c r="T2" s="1218"/>
      <c r="U2" s="1218"/>
      <c r="V2" s="1218"/>
      <c r="W2" s="1218"/>
      <c r="X2" s="1218"/>
      <c r="Y2" s="1218"/>
      <c r="Z2" s="1218"/>
      <c r="AA2" s="1218"/>
      <c r="AB2" s="1218"/>
      <c r="AC2" s="1218"/>
      <c r="AD2" s="1218"/>
      <c r="AE2" s="1218"/>
      <c r="AF2" s="1218"/>
      <c r="AG2" s="1218"/>
      <c r="AH2" s="1218"/>
      <c r="AI2" s="1218"/>
      <c r="AJ2" s="1218"/>
      <c r="AK2" s="1218"/>
      <c r="AL2" s="1218"/>
      <c r="AM2" s="1218"/>
      <c r="AN2" s="1218"/>
      <c r="AO2" s="1218"/>
      <c r="AP2" s="1218"/>
      <c r="AQ2" s="1218"/>
      <c r="AR2" s="1218"/>
      <c r="AS2" s="1218"/>
      <c r="AT2" s="1218"/>
      <c r="AU2" s="1218"/>
      <c r="AV2" s="1218"/>
      <c r="AW2" s="1218"/>
      <c r="AX2" s="1218"/>
      <c r="AY2" s="1218"/>
      <c r="AZ2" s="1218"/>
    </row>
    <row r="3" spans="1:53" s="425" customFormat="1" ht="43.5" customHeight="1" thickBot="1" x14ac:dyDescent="0.3">
      <c r="A3" s="1315" t="s">
        <v>0</v>
      </c>
      <c r="B3" s="1317" t="s">
        <v>153</v>
      </c>
      <c r="C3" s="1318"/>
      <c r="D3" s="1310" t="s">
        <v>154</v>
      </c>
      <c r="E3" s="1309"/>
      <c r="F3" s="1308" t="s">
        <v>155</v>
      </c>
      <c r="G3" s="1308"/>
      <c r="H3" s="1310" t="s">
        <v>156</v>
      </c>
      <c r="I3" s="1309"/>
      <c r="J3" s="1310" t="s">
        <v>157</v>
      </c>
      <c r="K3" s="1309"/>
      <c r="L3" s="1310" t="s">
        <v>158</v>
      </c>
      <c r="M3" s="1309"/>
      <c r="N3" s="1308" t="s">
        <v>291</v>
      </c>
      <c r="O3" s="1308"/>
      <c r="P3" s="1310" t="s">
        <v>159</v>
      </c>
      <c r="Q3" s="1309"/>
      <c r="R3" s="1310" t="s">
        <v>160</v>
      </c>
      <c r="S3" s="1308"/>
      <c r="T3" s="1310" t="s">
        <v>161</v>
      </c>
      <c r="U3" s="1309"/>
      <c r="V3" s="1310" t="s">
        <v>162</v>
      </c>
      <c r="W3" s="1309"/>
      <c r="X3" s="1310" t="s">
        <v>163</v>
      </c>
      <c r="Y3" s="1308"/>
      <c r="Z3" s="1310" t="s">
        <v>164</v>
      </c>
      <c r="AA3" s="1309"/>
      <c r="AB3" s="1308" t="s">
        <v>165</v>
      </c>
      <c r="AC3" s="1308"/>
      <c r="AD3" s="1312" t="s">
        <v>166</v>
      </c>
      <c r="AE3" s="1313"/>
      <c r="AF3" s="1308" t="s">
        <v>167</v>
      </c>
      <c r="AG3" s="1308"/>
      <c r="AH3" s="1310" t="s">
        <v>168</v>
      </c>
      <c r="AI3" s="1309"/>
      <c r="AJ3" s="1310" t="s">
        <v>169</v>
      </c>
      <c r="AK3" s="1308"/>
      <c r="AL3" s="1312" t="s">
        <v>170</v>
      </c>
      <c r="AM3" s="1313"/>
      <c r="AN3" s="1308" t="s">
        <v>171</v>
      </c>
      <c r="AO3" s="1309"/>
      <c r="AP3" s="1310" t="s">
        <v>172</v>
      </c>
      <c r="AQ3" s="1308"/>
      <c r="AR3" s="1310" t="s">
        <v>173</v>
      </c>
      <c r="AS3" s="1309"/>
      <c r="AT3" s="1308" t="s">
        <v>174</v>
      </c>
      <c r="AU3" s="1308"/>
      <c r="AV3" s="1310" t="s">
        <v>1</v>
      </c>
      <c r="AW3" s="1309"/>
      <c r="AX3" s="1311" t="s">
        <v>175</v>
      </c>
      <c r="AY3" s="1311"/>
      <c r="AZ3" s="1312" t="s">
        <v>2</v>
      </c>
      <c r="BA3" s="1313"/>
    </row>
    <row r="4" spans="1:53" s="283" customFormat="1" ht="15" thickBot="1" x14ac:dyDescent="0.35">
      <c r="A4" s="1316"/>
      <c r="B4" s="360" t="s">
        <v>290</v>
      </c>
      <c r="C4" s="362" t="s">
        <v>279</v>
      </c>
      <c r="D4" s="360" t="s">
        <v>290</v>
      </c>
      <c r="E4" s="362" t="s">
        <v>279</v>
      </c>
      <c r="F4" s="361" t="s">
        <v>290</v>
      </c>
      <c r="G4" s="361" t="s">
        <v>279</v>
      </c>
      <c r="H4" s="812" t="s">
        <v>290</v>
      </c>
      <c r="I4" s="362" t="s">
        <v>279</v>
      </c>
      <c r="J4" s="362" t="s">
        <v>290</v>
      </c>
      <c r="K4" s="362" t="s">
        <v>279</v>
      </c>
      <c r="L4" s="362" t="s">
        <v>290</v>
      </c>
      <c r="M4" s="362" t="s">
        <v>279</v>
      </c>
      <c r="N4" s="362" t="s">
        <v>290</v>
      </c>
      <c r="O4" s="362" t="s">
        <v>279</v>
      </c>
      <c r="P4" s="362" t="s">
        <v>290</v>
      </c>
      <c r="Q4" s="362" t="s">
        <v>279</v>
      </c>
      <c r="R4" s="362" t="s">
        <v>290</v>
      </c>
      <c r="S4" s="362" t="s">
        <v>279</v>
      </c>
      <c r="T4" s="362" t="s">
        <v>290</v>
      </c>
      <c r="U4" s="362" t="s">
        <v>279</v>
      </c>
      <c r="V4" s="362" t="s">
        <v>290</v>
      </c>
      <c r="W4" s="362" t="s">
        <v>279</v>
      </c>
      <c r="X4" s="362" t="s">
        <v>290</v>
      </c>
      <c r="Y4" s="362" t="s">
        <v>279</v>
      </c>
      <c r="Z4" s="362" t="s">
        <v>290</v>
      </c>
      <c r="AA4" s="362" t="s">
        <v>279</v>
      </c>
      <c r="AB4" s="362" t="s">
        <v>290</v>
      </c>
      <c r="AC4" s="362" t="s">
        <v>279</v>
      </c>
      <c r="AD4" s="362" t="s">
        <v>290</v>
      </c>
      <c r="AE4" s="362" t="s">
        <v>279</v>
      </c>
      <c r="AF4" s="362" t="s">
        <v>290</v>
      </c>
      <c r="AG4" s="362" t="s">
        <v>279</v>
      </c>
      <c r="AH4" s="362" t="s">
        <v>290</v>
      </c>
      <c r="AI4" s="362" t="s">
        <v>279</v>
      </c>
      <c r="AJ4" s="362" t="s">
        <v>290</v>
      </c>
      <c r="AK4" s="362" t="s">
        <v>279</v>
      </c>
      <c r="AL4" s="362" t="s">
        <v>290</v>
      </c>
      <c r="AM4" s="362" t="s">
        <v>279</v>
      </c>
      <c r="AN4" s="362" t="s">
        <v>290</v>
      </c>
      <c r="AO4" s="362" t="s">
        <v>279</v>
      </c>
      <c r="AP4" s="362" t="s">
        <v>290</v>
      </c>
      <c r="AQ4" s="362" t="s">
        <v>279</v>
      </c>
      <c r="AR4" s="362" t="s">
        <v>290</v>
      </c>
      <c r="AS4" s="362" t="s">
        <v>279</v>
      </c>
      <c r="AT4" s="362" t="s">
        <v>290</v>
      </c>
      <c r="AU4" s="362" t="s">
        <v>279</v>
      </c>
      <c r="AV4" s="362" t="s">
        <v>290</v>
      </c>
      <c r="AW4" s="362" t="s">
        <v>279</v>
      </c>
      <c r="AX4" s="362" t="s">
        <v>290</v>
      </c>
      <c r="AY4" s="362" t="s">
        <v>279</v>
      </c>
      <c r="AZ4" s="362" t="s">
        <v>290</v>
      </c>
      <c r="BA4" s="362" t="s">
        <v>279</v>
      </c>
    </row>
    <row r="5" spans="1:53" s="62" customFormat="1" ht="15" customHeight="1" x14ac:dyDescent="0.25">
      <c r="A5" s="66" t="s">
        <v>3</v>
      </c>
      <c r="B5" s="232">
        <v>24</v>
      </c>
      <c r="C5" s="234">
        <v>5.6</v>
      </c>
      <c r="D5" s="232"/>
      <c r="E5" s="234"/>
      <c r="F5" s="236"/>
      <c r="G5" s="235">
        <v>0.01</v>
      </c>
      <c r="H5" s="232">
        <v>8</v>
      </c>
      <c r="I5" s="234">
        <v>4</v>
      </c>
      <c r="J5" s="568"/>
      <c r="K5" s="761"/>
      <c r="L5" s="232"/>
      <c r="M5" s="234"/>
      <c r="N5" s="236">
        <v>6.0000000000000001E-3</v>
      </c>
      <c r="O5" s="235"/>
      <c r="P5" s="232">
        <v>0.06</v>
      </c>
      <c r="Q5" s="234">
        <v>0.35</v>
      </c>
      <c r="R5" s="588"/>
      <c r="S5" s="786"/>
      <c r="T5" s="232">
        <v>0.03</v>
      </c>
      <c r="U5" s="234">
        <v>0.04</v>
      </c>
      <c r="V5" s="232">
        <v>130.51</v>
      </c>
      <c r="W5" s="234">
        <v>0.79</v>
      </c>
      <c r="X5" s="233">
        <v>4</v>
      </c>
      <c r="Y5" s="235">
        <v>6</v>
      </c>
      <c r="Z5" s="232"/>
      <c r="AA5" s="234"/>
      <c r="AB5" s="789"/>
      <c r="AC5" s="792"/>
      <c r="AD5" s="232"/>
      <c r="AE5" s="234">
        <v>5.7000000000000002E-3</v>
      </c>
      <c r="AF5" s="236">
        <v>1.6</v>
      </c>
      <c r="AG5" s="235">
        <v>1.96</v>
      </c>
      <c r="AH5" s="232">
        <v>0.15</v>
      </c>
      <c r="AI5" s="234">
        <v>0.03</v>
      </c>
      <c r="AJ5" s="233"/>
      <c r="AK5" s="235"/>
      <c r="AL5" s="232"/>
      <c r="AM5" s="234"/>
      <c r="AN5" s="797">
        <v>28</v>
      </c>
      <c r="AO5" s="604">
        <v>50</v>
      </c>
      <c r="AP5" s="233"/>
      <c r="AQ5" s="235"/>
      <c r="AR5" s="232">
        <v>2.8E-3</v>
      </c>
      <c r="AS5" s="234">
        <v>5.0000000000000001E-4</v>
      </c>
      <c r="AT5" s="803">
        <v>0.88</v>
      </c>
      <c r="AU5" s="786">
        <v>3.39</v>
      </c>
      <c r="AV5" s="230">
        <f t="shared" ref="AV5:AV14" si="0">SUM(B5+D5+F5+H5+J5+L5+N5+P5+R5+T5+V5+X5+Z5+P5+AD5+AF5+AH5+AJ5+AL5+AN5+AP5+AR5+B5)</f>
        <v>220.4188</v>
      </c>
      <c r="AW5" s="767">
        <f t="shared" ref="AW5:AW14" si="1">SUM(C5+E5+G5+I5+K5+M5+O5+Q5+S5+U5+W5+Y5+AA5+Q5+AE5+AG5+AI5+AK5+AM5+AO5+AQ5+AS5+C5)</f>
        <v>74.736199999999997</v>
      </c>
      <c r="AX5" s="236"/>
      <c r="AY5" s="235">
        <v>6300.01</v>
      </c>
      <c r="AZ5" s="230">
        <f t="shared" ref="AZ5:AZ14" si="2">AV5+AX5</f>
        <v>220.4188</v>
      </c>
      <c r="BA5" s="231">
        <f t="shared" ref="BA5:BA14" si="3">AW5+AY5</f>
        <v>6374.7462000000005</v>
      </c>
    </row>
    <row r="6" spans="1:53" s="62" customFormat="1" x14ac:dyDescent="0.25">
      <c r="A6" s="66" t="s">
        <v>4</v>
      </c>
      <c r="B6" s="4">
        <v>-11</v>
      </c>
      <c r="C6" s="234">
        <v>10.9</v>
      </c>
      <c r="D6" s="4"/>
      <c r="E6" s="6"/>
      <c r="F6" s="21"/>
      <c r="G6" s="235"/>
      <c r="H6" s="4">
        <v>264</v>
      </c>
      <c r="I6" s="234">
        <v>278</v>
      </c>
      <c r="J6" s="246">
        <v>4.7</v>
      </c>
      <c r="K6" s="258">
        <v>0.19</v>
      </c>
      <c r="L6" s="4">
        <v>141.96</v>
      </c>
      <c r="M6" s="6">
        <v>93.54</v>
      </c>
      <c r="N6" s="21"/>
      <c r="O6" s="63">
        <v>0.06</v>
      </c>
      <c r="P6" s="4">
        <v>1.63</v>
      </c>
      <c r="Q6" s="6">
        <v>1.88</v>
      </c>
      <c r="R6" s="257">
        <v>0.11</v>
      </c>
      <c r="S6" s="63">
        <v>5.34</v>
      </c>
      <c r="T6" s="4">
        <v>8.5</v>
      </c>
      <c r="U6" s="234">
        <v>30.24</v>
      </c>
      <c r="V6" s="232">
        <v>443.06</v>
      </c>
      <c r="W6" s="6">
        <v>579.08000000000004</v>
      </c>
      <c r="X6" s="5">
        <v>172</v>
      </c>
      <c r="Y6" s="235">
        <v>327</v>
      </c>
      <c r="Z6" s="57">
        <v>24.2</v>
      </c>
      <c r="AA6" s="450">
        <v>60.8</v>
      </c>
      <c r="AB6" s="790">
        <v>54.36</v>
      </c>
      <c r="AC6" s="793">
        <v>70.739999999999995</v>
      </c>
      <c r="AD6" s="4">
        <v>44.68</v>
      </c>
      <c r="AE6" s="234">
        <v>78.34</v>
      </c>
      <c r="AF6" s="21">
        <v>103.53</v>
      </c>
      <c r="AG6" s="235">
        <v>130.12</v>
      </c>
      <c r="AH6" s="4">
        <v>80.7</v>
      </c>
      <c r="AI6" s="6">
        <v>145.29</v>
      </c>
      <c r="AJ6" s="5"/>
      <c r="AK6" s="63"/>
      <c r="AL6" s="4"/>
      <c r="AM6" s="6"/>
      <c r="AN6" s="798">
        <v>1644</v>
      </c>
      <c r="AO6" s="602">
        <v>1120</v>
      </c>
      <c r="AP6" s="64"/>
      <c r="AQ6" s="801"/>
      <c r="AR6" s="65">
        <v>103.07</v>
      </c>
      <c r="AS6" s="804">
        <v>48.84</v>
      </c>
      <c r="AT6" s="790">
        <v>0.03</v>
      </c>
      <c r="AU6" s="805">
        <v>3.0000000000000001E-3</v>
      </c>
      <c r="AV6" s="230">
        <f t="shared" si="0"/>
        <v>3015.7700000000004</v>
      </c>
      <c r="AW6" s="767">
        <f t="shared" si="1"/>
        <v>2922.4</v>
      </c>
      <c r="AX6" s="806"/>
      <c r="AY6" s="235">
        <v>2.11</v>
      </c>
      <c r="AZ6" s="54">
        <f t="shared" si="2"/>
        <v>3015.7700000000004</v>
      </c>
      <c r="BA6" s="61">
        <f t="shared" si="3"/>
        <v>2924.51</v>
      </c>
    </row>
    <row r="7" spans="1:53" s="62" customFormat="1" x14ac:dyDescent="0.25">
      <c r="A7" s="66" t="s">
        <v>5</v>
      </c>
      <c r="B7" s="4">
        <v>42</v>
      </c>
      <c r="C7" s="234">
        <v>33.799999999999997</v>
      </c>
      <c r="D7" s="4">
        <v>1.82</v>
      </c>
      <c r="E7" s="6"/>
      <c r="F7" s="21"/>
      <c r="G7" s="235"/>
      <c r="H7" s="4">
        <v>13</v>
      </c>
      <c r="I7" s="234">
        <v>199</v>
      </c>
      <c r="J7" s="246">
        <v>0.04</v>
      </c>
      <c r="K7" s="258">
        <v>0.44</v>
      </c>
      <c r="L7" s="4">
        <v>3.09</v>
      </c>
      <c r="M7" s="6">
        <v>4.96</v>
      </c>
      <c r="N7" s="21">
        <v>18.05</v>
      </c>
      <c r="O7" s="63">
        <v>53.13</v>
      </c>
      <c r="P7" s="4"/>
      <c r="Q7" s="6"/>
      <c r="R7" s="257"/>
      <c r="S7" s="63"/>
      <c r="T7" s="4"/>
      <c r="U7" s="234">
        <v>0.13</v>
      </c>
      <c r="V7" s="232">
        <v>323.49</v>
      </c>
      <c r="W7" s="6">
        <v>650.08000000000004</v>
      </c>
      <c r="X7" s="5">
        <v>44</v>
      </c>
      <c r="Y7" s="235">
        <v>36</v>
      </c>
      <c r="Z7" s="57"/>
      <c r="AA7" s="450"/>
      <c r="AB7" s="790"/>
      <c r="AC7" s="793"/>
      <c r="AD7" s="4">
        <v>40.659999999999997</v>
      </c>
      <c r="AE7" s="234">
        <v>69.23</v>
      </c>
      <c r="AF7" s="21">
        <v>2.46</v>
      </c>
      <c r="AG7" s="235"/>
      <c r="AH7" s="4">
        <v>0.02</v>
      </c>
      <c r="AI7" s="6">
        <v>1E-3</v>
      </c>
      <c r="AJ7" s="5"/>
      <c r="AK7" s="63"/>
      <c r="AL7" s="4"/>
      <c r="AM7" s="6"/>
      <c r="AN7" s="798">
        <v>1</v>
      </c>
      <c r="AO7" s="602">
        <v>7</v>
      </c>
      <c r="AP7" s="64">
        <v>17.21</v>
      </c>
      <c r="AQ7" s="801">
        <v>51.56</v>
      </c>
      <c r="AR7" s="65"/>
      <c r="AS7" s="804"/>
      <c r="AT7" s="790"/>
      <c r="AU7" s="805"/>
      <c r="AV7" s="230">
        <f t="shared" si="0"/>
        <v>548.83999999999992</v>
      </c>
      <c r="AW7" s="767">
        <f t="shared" si="1"/>
        <v>1139.1309999999999</v>
      </c>
      <c r="AX7" s="806"/>
      <c r="AY7" s="235">
        <v>32.880000000000003</v>
      </c>
      <c r="AZ7" s="54">
        <f t="shared" si="2"/>
        <v>548.83999999999992</v>
      </c>
      <c r="BA7" s="61">
        <f t="shared" si="3"/>
        <v>1172.011</v>
      </c>
    </row>
    <row r="8" spans="1:53" s="62" customFormat="1" x14ac:dyDescent="0.25">
      <c r="A8" s="66" t="s">
        <v>6</v>
      </c>
      <c r="B8" s="4">
        <v>45</v>
      </c>
      <c r="C8" s="234">
        <v>48.24</v>
      </c>
      <c r="D8" s="4">
        <v>5.39</v>
      </c>
      <c r="E8" s="6">
        <v>5.39</v>
      </c>
      <c r="F8" s="21"/>
      <c r="G8" s="235">
        <v>3.95</v>
      </c>
      <c r="H8" s="4">
        <v>21</v>
      </c>
      <c r="I8" s="234">
        <v>27</v>
      </c>
      <c r="J8" s="246"/>
      <c r="K8" s="258"/>
      <c r="L8" s="4">
        <v>12.89</v>
      </c>
      <c r="M8" s="6">
        <v>0.2</v>
      </c>
      <c r="N8" s="21">
        <v>9.69</v>
      </c>
      <c r="O8" s="63">
        <v>21.14</v>
      </c>
      <c r="P8" s="4">
        <v>1.66</v>
      </c>
      <c r="Q8" s="6">
        <v>3.88</v>
      </c>
      <c r="R8" s="257">
        <v>18.18</v>
      </c>
      <c r="S8" s="63">
        <v>22.13</v>
      </c>
      <c r="T8" s="4">
        <v>7.06</v>
      </c>
      <c r="U8" s="234">
        <v>7.59</v>
      </c>
      <c r="V8" s="232">
        <v>39.659999999999997</v>
      </c>
      <c r="W8" s="6">
        <v>105.88</v>
      </c>
      <c r="X8" s="5">
        <v>76</v>
      </c>
      <c r="Y8" s="235">
        <v>127</v>
      </c>
      <c r="Z8" s="57"/>
      <c r="AA8" s="450"/>
      <c r="AB8" s="790">
        <v>13.2</v>
      </c>
      <c r="AC8" s="793">
        <v>8.6</v>
      </c>
      <c r="AD8" s="4">
        <v>25.51</v>
      </c>
      <c r="AE8" s="234">
        <v>56.47</v>
      </c>
      <c r="AF8" s="21">
        <v>20.93</v>
      </c>
      <c r="AG8" s="235">
        <v>19.52</v>
      </c>
      <c r="AH8" s="4">
        <v>21.06</v>
      </c>
      <c r="AI8" s="6">
        <v>36.119999999999997</v>
      </c>
      <c r="AJ8" s="5">
        <v>0.03</v>
      </c>
      <c r="AK8" s="63">
        <v>0.01</v>
      </c>
      <c r="AL8" s="4"/>
      <c r="AM8" s="6"/>
      <c r="AN8" s="798">
        <v>32</v>
      </c>
      <c r="AO8" s="602">
        <v>19</v>
      </c>
      <c r="AP8" s="64">
        <v>0.19</v>
      </c>
      <c r="AQ8" s="801">
        <v>0.77</v>
      </c>
      <c r="AR8" s="65">
        <v>1.1599999999999999</v>
      </c>
      <c r="AS8" s="804">
        <v>0.25</v>
      </c>
      <c r="AT8" s="790">
        <v>5.15</v>
      </c>
      <c r="AU8" s="805">
        <v>10.210000000000001</v>
      </c>
      <c r="AV8" s="230">
        <f t="shared" si="0"/>
        <v>384.07</v>
      </c>
      <c r="AW8" s="767">
        <f t="shared" si="1"/>
        <v>556.66</v>
      </c>
      <c r="AX8" s="806"/>
      <c r="AY8" s="235">
        <v>6.58</v>
      </c>
      <c r="AZ8" s="54">
        <f t="shared" si="2"/>
        <v>384.07</v>
      </c>
      <c r="BA8" s="61">
        <f t="shared" si="3"/>
        <v>563.24</v>
      </c>
    </row>
    <row r="9" spans="1:53" s="62" customFormat="1" x14ac:dyDescent="0.25">
      <c r="A9" s="66" t="s">
        <v>7</v>
      </c>
      <c r="B9" s="4"/>
      <c r="C9" s="234"/>
      <c r="D9" s="4"/>
      <c r="E9" s="6"/>
      <c r="F9" s="21"/>
      <c r="G9" s="235"/>
      <c r="H9" s="4">
        <v>14</v>
      </c>
      <c r="I9" s="234">
        <v>31</v>
      </c>
      <c r="J9" s="246"/>
      <c r="K9" s="258"/>
      <c r="L9" s="4"/>
      <c r="M9" s="6"/>
      <c r="N9" s="21">
        <v>0.91</v>
      </c>
      <c r="O9" s="63">
        <v>10.07</v>
      </c>
      <c r="P9" s="4"/>
      <c r="Q9" s="6"/>
      <c r="R9" s="257"/>
      <c r="S9" s="63"/>
      <c r="T9" s="4"/>
      <c r="U9" s="234"/>
      <c r="V9" s="232">
        <v>2.72</v>
      </c>
      <c r="W9" s="6">
        <v>1.93</v>
      </c>
      <c r="X9" s="5"/>
      <c r="Y9" s="235"/>
      <c r="Z9" s="57"/>
      <c r="AA9" s="450"/>
      <c r="AB9" s="790"/>
      <c r="AC9" s="793"/>
      <c r="AD9" s="4">
        <v>17.47</v>
      </c>
      <c r="AE9" s="234">
        <v>52.25</v>
      </c>
      <c r="AF9" s="21"/>
      <c r="AG9" s="235"/>
      <c r="AH9" s="4"/>
      <c r="AI9" s="6"/>
      <c r="AJ9" s="5"/>
      <c r="AK9" s="63"/>
      <c r="AL9" s="4"/>
      <c r="AM9" s="6"/>
      <c r="AN9" s="799"/>
      <c r="AO9" s="602"/>
      <c r="AP9" s="64"/>
      <c r="AQ9" s="801"/>
      <c r="AR9" s="65"/>
      <c r="AS9" s="804"/>
      <c r="AT9" s="790"/>
      <c r="AU9" s="805"/>
      <c r="AV9" s="230">
        <f t="shared" si="0"/>
        <v>35.099999999999994</v>
      </c>
      <c r="AW9" s="767">
        <f t="shared" si="1"/>
        <v>95.25</v>
      </c>
      <c r="AX9" s="806"/>
      <c r="AY9" s="235"/>
      <c r="AZ9" s="54">
        <f t="shared" si="2"/>
        <v>35.099999999999994</v>
      </c>
      <c r="BA9" s="61">
        <f t="shared" si="3"/>
        <v>95.25</v>
      </c>
    </row>
    <row r="10" spans="1:53" s="62" customFormat="1" x14ac:dyDescent="0.25">
      <c r="A10" s="66" t="s">
        <v>8</v>
      </c>
      <c r="B10" s="4">
        <v>1108</v>
      </c>
      <c r="C10" s="234">
        <v>580.42999999999995</v>
      </c>
      <c r="D10" s="4">
        <v>0.62</v>
      </c>
      <c r="E10" s="6">
        <v>2.77</v>
      </c>
      <c r="F10" s="21"/>
      <c r="G10" s="235">
        <v>39.880000000000003</v>
      </c>
      <c r="H10" s="4">
        <v>907</v>
      </c>
      <c r="I10" s="234">
        <v>901</v>
      </c>
      <c r="J10" s="246">
        <v>44.55</v>
      </c>
      <c r="K10" s="258">
        <v>120.65</v>
      </c>
      <c r="L10" s="4">
        <v>308.66000000000003</v>
      </c>
      <c r="M10" s="6">
        <v>195.33</v>
      </c>
      <c r="N10" s="21">
        <v>7.38</v>
      </c>
      <c r="O10" s="63">
        <v>128.44</v>
      </c>
      <c r="P10" s="4">
        <v>3.92</v>
      </c>
      <c r="Q10" s="6">
        <v>11.13</v>
      </c>
      <c r="R10" s="257">
        <v>7.42</v>
      </c>
      <c r="S10" s="63">
        <v>7.88</v>
      </c>
      <c r="T10" s="4">
        <v>17.5</v>
      </c>
      <c r="U10" s="234">
        <v>170.85</v>
      </c>
      <c r="V10" s="232">
        <v>3390.86</v>
      </c>
      <c r="W10" s="6">
        <v>2724.3</v>
      </c>
      <c r="X10" s="5">
        <v>1609</v>
      </c>
      <c r="Y10" s="235">
        <v>1137</v>
      </c>
      <c r="Z10" s="57">
        <v>3.41</v>
      </c>
      <c r="AA10" s="450">
        <v>3.82</v>
      </c>
      <c r="AB10" s="790">
        <v>477.66</v>
      </c>
      <c r="AC10" s="793">
        <v>433.45</v>
      </c>
      <c r="AD10" s="795">
        <v>578.98</v>
      </c>
      <c r="AE10" s="234">
        <v>965.82</v>
      </c>
      <c r="AF10" s="21">
        <v>29.07</v>
      </c>
      <c r="AG10" s="235">
        <v>31.2</v>
      </c>
      <c r="AH10" s="4">
        <v>12.41</v>
      </c>
      <c r="AI10" s="6">
        <v>15.9</v>
      </c>
      <c r="AJ10" s="5">
        <v>14.52</v>
      </c>
      <c r="AK10" s="63">
        <v>26.09</v>
      </c>
      <c r="AL10" s="4"/>
      <c r="AM10" s="6"/>
      <c r="AN10" s="798">
        <v>3087</v>
      </c>
      <c r="AO10" s="602">
        <v>1772</v>
      </c>
      <c r="AP10" s="64">
        <v>26.65</v>
      </c>
      <c r="AQ10" s="801">
        <v>50.69</v>
      </c>
      <c r="AR10" s="65">
        <v>0.68</v>
      </c>
      <c r="AS10" s="804">
        <v>1.71</v>
      </c>
      <c r="AT10" s="790">
        <v>42.52</v>
      </c>
      <c r="AU10" s="805">
        <v>56.36</v>
      </c>
      <c r="AV10" s="230">
        <f t="shared" si="0"/>
        <v>12269.55</v>
      </c>
      <c r="AW10" s="767">
        <f t="shared" si="1"/>
        <v>9478.4499999999989</v>
      </c>
      <c r="AX10" s="21"/>
      <c r="AY10" s="235">
        <v>58770.94</v>
      </c>
      <c r="AZ10" s="54">
        <f t="shared" si="2"/>
        <v>12269.55</v>
      </c>
      <c r="BA10" s="61">
        <f t="shared" si="3"/>
        <v>68249.39</v>
      </c>
    </row>
    <row r="11" spans="1:53" s="62" customFormat="1" ht="14.25" thickBot="1" x14ac:dyDescent="0.3">
      <c r="A11" s="66" t="s">
        <v>9</v>
      </c>
      <c r="B11" s="54"/>
      <c r="C11" s="61"/>
      <c r="D11" s="4"/>
      <c r="E11" s="6"/>
      <c r="F11" s="21"/>
      <c r="G11" s="63"/>
      <c r="H11" s="4"/>
      <c r="I11" s="6"/>
      <c r="J11" s="4"/>
      <c r="K11" s="6"/>
      <c r="L11" s="4"/>
      <c r="M11" s="6"/>
      <c r="N11" s="21"/>
      <c r="O11" s="63"/>
      <c r="P11" s="4"/>
      <c r="Q11" s="6"/>
      <c r="R11" s="5"/>
      <c r="S11" s="63"/>
      <c r="T11" s="4"/>
      <c r="U11" s="6"/>
      <c r="V11" s="4"/>
      <c r="W11" s="6"/>
      <c r="X11" s="5"/>
      <c r="Y11" s="63"/>
      <c r="Z11" s="57"/>
      <c r="AA11" s="450"/>
      <c r="AB11" s="790"/>
      <c r="AC11" s="793"/>
      <c r="AD11" s="795"/>
      <c r="AE11" s="796"/>
      <c r="AF11" s="21"/>
      <c r="AG11" s="63"/>
      <c r="AH11" s="4"/>
      <c r="AI11" s="234"/>
      <c r="AJ11" s="5"/>
      <c r="AK11" s="63"/>
      <c r="AL11" s="4"/>
      <c r="AM11" s="6"/>
      <c r="AN11" s="800"/>
      <c r="AO11" s="605"/>
      <c r="AP11" s="64"/>
      <c r="AQ11" s="801"/>
      <c r="AR11" s="65"/>
      <c r="AS11" s="804"/>
      <c r="AT11" s="21"/>
      <c r="AU11" s="63">
        <v>4.0000000000000001E-3</v>
      </c>
      <c r="AV11" s="230">
        <f t="shared" si="0"/>
        <v>0</v>
      </c>
      <c r="AW11" s="767">
        <f t="shared" si="1"/>
        <v>0</v>
      </c>
      <c r="AX11" s="21"/>
      <c r="AY11" s="63"/>
      <c r="AZ11" s="54">
        <f t="shared" si="2"/>
        <v>0</v>
      </c>
      <c r="BA11" s="61">
        <f t="shared" si="3"/>
        <v>0</v>
      </c>
    </row>
    <row r="12" spans="1:53" s="291" customFormat="1" x14ac:dyDescent="0.25">
      <c r="A12" s="281" t="s">
        <v>10</v>
      </c>
      <c r="B12" s="284">
        <f>SUM(B5:B11)</f>
        <v>1208</v>
      </c>
      <c r="C12" s="286">
        <f t="shared" ref="C12:Q12" si="4">SUM(C5:C11)</f>
        <v>678.96999999999991</v>
      </c>
      <c r="D12" s="284">
        <f t="shared" si="4"/>
        <v>7.83</v>
      </c>
      <c r="E12" s="286">
        <f t="shared" si="4"/>
        <v>8.16</v>
      </c>
      <c r="F12" s="285">
        <f t="shared" si="4"/>
        <v>0</v>
      </c>
      <c r="G12" s="287">
        <f t="shared" si="4"/>
        <v>43.84</v>
      </c>
      <c r="H12" s="284">
        <f t="shared" si="4"/>
        <v>1227</v>
      </c>
      <c r="I12" s="286">
        <f t="shared" si="4"/>
        <v>1440</v>
      </c>
      <c r="J12" s="284">
        <f t="shared" si="4"/>
        <v>49.29</v>
      </c>
      <c r="K12" s="290">
        <f t="shared" si="4"/>
        <v>121.28</v>
      </c>
      <c r="L12" s="284">
        <f t="shared" si="4"/>
        <v>466.6</v>
      </c>
      <c r="M12" s="286">
        <f t="shared" si="4"/>
        <v>294.03000000000003</v>
      </c>
      <c r="N12" s="285">
        <f t="shared" si="4"/>
        <v>36.036000000000001</v>
      </c>
      <c r="O12" s="289">
        <f t="shared" si="4"/>
        <v>212.84</v>
      </c>
      <c r="P12" s="284">
        <f t="shared" si="4"/>
        <v>7.27</v>
      </c>
      <c r="Q12" s="286">
        <f t="shared" si="4"/>
        <v>17.240000000000002</v>
      </c>
      <c r="R12" s="288">
        <f t="shared" ref="R12:AI12" si="5">SUM(R5:R11)</f>
        <v>25.71</v>
      </c>
      <c r="S12" s="289">
        <f t="shared" si="5"/>
        <v>35.35</v>
      </c>
      <c r="T12" s="284">
        <f t="shared" si="5"/>
        <v>33.090000000000003</v>
      </c>
      <c r="U12" s="286">
        <f t="shared" si="5"/>
        <v>208.85</v>
      </c>
      <c r="V12" s="284">
        <f t="shared" si="5"/>
        <v>4330.3</v>
      </c>
      <c r="W12" s="286">
        <f t="shared" si="5"/>
        <v>4062.0600000000004</v>
      </c>
      <c r="X12" s="285">
        <f t="shared" si="5"/>
        <v>1905</v>
      </c>
      <c r="Y12" s="287">
        <f t="shared" si="5"/>
        <v>1633</v>
      </c>
      <c r="Z12" s="284">
        <f t="shared" si="5"/>
        <v>27.61</v>
      </c>
      <c r="AA12" s="286">
        <f t="shared" si="5"/>
        <v>64.61999999999999</v>
      </c>
      <c r="AB12" s="285">
        <f t="shared" si="5"/>
        <v>545.22</v>
      </c>
      <c r="AC12" s="289">
        <f t="shared" si="5"/>
        <v>512.79</v>
      </c>
      <c r="AD12" s="284">
        <f t="shared" si="5"/>
        <v>707.3</v>
      </c>
      <c r="AE12" s="286">
        <f t="shared" si="5"/>
        <v>1222.1157000000001</v>
      </c>
      <c r="AF12" s="285">
        <f t="shared" si="5"/>
        <v>157.58999999999997</v>
      </c>
      <c r="AG12" s="287">
        <f t="shared" si="5"/>
        <v>182.8</v>
      </c>
      <c r="AH12" s="284">
        <f>SUM(AH5:AH11)</f>
        <v>114.34</v>
      </c>
      <c r="AI12" s="286">
        <f t="shared" si="5"/>
        <v>197.34100000000001</v>
      </c>
      <c r="AJ12" s="285">
        <f t="shared" ref="AJ12:AU12" si="6">SUM(AJ5:AJ11)</f>
        <v>14.549999999999999</v>
      </c>
      <c r="AK12" s="287">
        <f t="shared" si="6"/>
        <v>26.1</v>
      </c>
      <c r="AL12" s="284">
        <f t="shared" si="6"/>
        <v>0</v>
      </c>
      <c r="AM12" s="286">
        <f t="shared" si="6"/>
        <v>0</v>
      </c>
      <c r="AN12" s="603">
        <f t="shared" si="6"/>
        <v>4792</v>
      </c>
      <c r="AO12" s="603">
        <f t="shared" si="6"/>
        <v>2968</v>
      </c>
      <c r="AP12" s="285">
        <f t="shared" si="6"/>
        <v>44.05</v>
      </c>
      <c r="AQ12" s="287">
        <f t="shared" si="6"/>
        <v>103.02000000000001</v>
      </c>
      <c r="AR12" s="284">
        <f t="shared" si="6"/>
        <v>104.91279999999999</v>
      </c>
      <c r="AS12" s="286">
        <f t="shared" si="6"/>
        <v>50.800500000000007</v>
      </c>
      <c r="AT12" s="285">
        <f t="shared" si="6"/>
        <v>48.580000000000005</v>
      </c>
      <c r="AU12" s="289">
        <f t="shared" si="6"/>
        <v>69.966999999999999</v>
      </c>
      <c r="AV12" s="230">
        <f t="shared" si="0"/>
        <v>16473.748800000001</v>
      </c>
      <c r="AW12" s="767">
        <f t="shared" si="1"/>
        <v>14266.627200000001</v>
      </c>
      <c r="AX12" s="807">
        <f>SUM(AX5:AX11)</f>
        <v>0</v>
      </c>
      <c r="AY12" s="810">
        <f>SUM(AY5:AY11)</f>
        <v>65112.520000000004</v>
      </c>
      <c r="AZ12" s="284">
        <f t="shared" si="2"/>
        <v>16473.748800000001</v>
      </c>
      <c r="BA12" s="290">
        <f t="shared" si="3"/>
        <v>79379.147200000007</v>
      </c>
    </row>
    <row r="13" spans="1:53" s="62" customFormat="1" ht="14.25" thickBot="1" x14ac:dyDescent="0.3">
      <c r="A13" s="66" t="s">
        <v>11</v>
      </c>
      <c r="B13" s="673"/>
      <c r="C13" s="674"/>
      <c r="D13" s="678"/>
      <c r="E13" s="679"/>
      <c r="F13" s="675"/>
      <c r="G13" s="677"/>
      <c r="H13" s="678"/>
      <c r="I13" s="679"/>
      <c r="J13" s="734"/>
      <c r="K13" s="762"/>
      <c r="L13" s="678"/>
      <c r="M13" s="679"/>
      <c r="N13" s="675"/>
      <c r="O13" s="677"/>
      <c r="P13" s="678"/>
      <c r="Q13" s="679"/>
      <c r="R13" s="765"/>
      <c r="S13" s="787"/>
      <c r="T13" s="680"/>
      <c r="U13" s="682"/>
      <c r="V13" s="680"/>
      <c r="W13" s="682"/>
      <c r="X13" s="681"/>
      <c r="Y13" s="683"/>
      <c r="Z13" s="680"/>
      <c r="AA13" s="682"/>
      <c r="AB13" s="791"/>
      <c r="AC13" s="794"/>
      <c r="AD13" s="678"/>
      <c r="AE13" s="679"/>
      <c r="AF13" s="675"/>
      <c r="AG13" s="677"/>
      <c r="AH13" s="678">
        <v>3.0000000000000001E-3</v>
      </c>
      <c r="AI13" s="679"/>
      <c r="AJ13" s="676"/>
      <c r="AK13" s="677"/>
      <c r="AL13" s="678"/>
      <c r="AM13" s="679"/>
      <c r="AN13" s="58"/>
      <c r="AO13" s="58"/>
      <c r="AP13" s="684"/>
      <c r="AQ13" s="802"/>
      <c r="AR13" s="685"/>
      <c r="AS13" s="687"/>
      <c r="AT13" s="675"/>
      <c r="AU13" s="677"/>
      <c r="AV13" s="768">
        <f t="shared" si="0"/>
        <v>3.0000000000000001E-3</v>
      </c>
      <c r="AW13" s="769">
        <f t="shared" si="1"/>
        <v>0</v>
      </c>
      <c r="AX13" s="808"/>
      <c r="AY13" s="686"/>
      <c r="AZ13" s="688">
        <f t="shared" si="2"/>
        <v>3.0000000000000001E-3</v>
      </c>
      <c r="BA13" s="689">
        <f t="shared" si="3"/>
        <v>0</v>
      </c>
    </row>
    <row r="14" spans="1:53" s="291" customFormat="1" ht="14.25" thickBot="1" x14ac:dyDescent="0.3">
      <c r="A14" s="518" t="s">
        <v>12</v>
      </c>
      <c r="B14" s="305">
        <f t="shared" ref="B14:AG14" si="7">B12+B13</f>
        <v>1208</v>
      </c>
      <c r="C14" s="306">
        <f t="shared" si="7"/>
        <v>678.96999999999991</v>
      </c>
      <c r="D14" s="305">
        <f t="shared" si="7"/>
        <v>7.83</v>
      </c>
      <c r="E14" s="306">
        <f t="shared" si="7"/>
        <v>8.16</v>
      </c>
      <c r="F14" s="303">
        <f t="shared" si="7"/>
        <v>0</v>
      </c>
      <c r="G14" s="304">
        <f t="shared" si="7"/>
        <v>43.84</v>
      </c>
      <c r="H14" s="305">
        <f t="shared" si="7"/>
        <v>1227</v>
      </c>
      <c r="I14" s="306">
        <f t="shared" si="7"/>
        <v>1440</v>
      </c>
      <c r="J14" s="763">
        <f t="shared" si="7"/>
        <v>49.29</v>
      </c>
      <c r="K14" s="785">
        <f t="shared" si="7"/>
        <v>121.28</v>
      </c>
      <c r="L14" s="305">
        <f t="shared" si="7"/>
        <v>466.6</v>
      </c>
      <c r="M14" s="306">
        <f t="shared" si="7"/>
        <v>294.03000000000003</v>
      </c>
      <c r="N14" s="303">
        <f t="shared" si="7"/>
        <v>36.036000000000001</v>
      </c>
      <c r="O14" s="690">
        <f t="shared" si="7"/>
        <v>212.84</v>
      </c>
      <c r="P14" s="305">
        <f>P12+P13</f>
        <v>7.27</v>
      </c>
      <c r="Q14" s="306">
        <f>Q12+Q13</f>
        <v>17.240000000000002</v>
      </c>
      <c r="R14" s="764">
        <f t="shared" si="7"/>
        <v>25.71</v>
      </c>
      <c r="S14" s="788">
        <f t="shared" si="7"/>
        <v>35.35</v>
      </c>
      <c r="T14" s="305">
        <f t="shared" si="7"/>
        <v>33.090000000000003</v>
      </c>
      <c r="U14" s="306">
        <f t="shared" si="7"/>
        <v>208.85</v>
      </c>
      <c r="V14" s="305">
        <f t="shared" si="7"/>
        <v>4330.3</v>
      </c>
      <c r="W14" s="306">
        <f t="shared" si="7"/>
        <v>4062.0600000000004</v>
      </c>
      <c r="X14" s="303">
        <f t="shared" si="7"/>
        <v>1905</v>
      </c>
      <c r="Y14" s="304">
        <f t="shared" si="7"/>
        <v>1633</v>
      </c>
      <c r="Z14" s="305">
        <f t="shared" si="7"/>
        <v>27.61</v>
      </c>
      <c r="AA14" s="306">
        <f t="shared" si="7"/>
        <v>64.61999999999999</v>
      </c>
      <c r="AB14" s="303">
        <f t="shared" si="7"/>
        <v>545.22</v>
      </c>
      <c r="AC14" s="690">
        <f t="shared" si="7"/>
        <v>512.79</v>
      </c>
      <c r="AD14" s="305">
        <f t="shared" si="7"/>
        <v>707.3</v>
      </c>
      <c r="AE14" s="306">
        <f t="shared" si="7"/>
        <v>1222.1157000000001</v>
      </c>
      <c r="AF14" s="303">
        <f t="shared" si="7"/>
        <v>157.58999999999997</v>
      </c>
      <c r="AG14" s="304">
        <f t="shared" si="7"/>
        <v>182.8</v>
      </c>
      <c r="AH14" s="305">
        <f t="shared" ref="AH14:AU14" si="8">AH12+AH13</f>
        <v>114.343</v>
      </c>
      <c r="AI14" s="306">
        <f t="shared" si="8"/>
        <v>197.34100000000001</v>
      </c>
      <c r="AJ14" s="303">
        <f t="shared" si="8"/>
        <v>14.549999999999999</v>
      </c>
      <c r="AK14" s="304">
        <f t="shared" si="8"/>
        <v>26.1</v>
      </c>
      <c r="AL14" s="305">
        <f t="shared" si="8"/>
        <v>0</v>
      </c>
      <c r="AM14" s="306">
        <f t="shared" si="8"/>
        <v>0</v>
      </c>
      <c r="AN14" s="303">
        <f t="shared" si="8"/>
        <v>4792</v>
      </c>
      <c r="AO14" s="303">
        <f t="shared" si="8"/>
        <v>2968</v>
      </c>
      <c r="AP14" s="303">
        <f t="shared" si="8"/>
        <v>44.05</v>
      </c>
      <c r="AQ14" s="304">
        <f t="shared" si="8"/>
        <v>103.02000000000001</v>
      </c>
      <c r="AR14" s="305">
        <f t="shared" si="8"/>
        <v>104.91279999999999</v>
      </c>
      <c r="AS14" s="306">
        <f t="shared" si="8"/>
        <v>50.800500000000007</v>
      </c>
      <c r="AT14" s="303">
        <f t="shared" si="8"/>
        <v>48.580000000000005</v>
      </c>
      <c r="AU14" s="690">
        <f t="shared" si="8"/>
        <v>69.966999999999999</v>
      </c>
      <c r="AV14" s="770">
        <f t="shared" si="0"/>
        <v>16473.751799999998</v>
      </c>
      <c r="AW14" s="771">
        <f t="shared" si="1"/>
        <v>14266.627200000001</v>
      </c>
      <c r="AX14" s="809">
        <f>AX12+AX13</f>
        <v>0</v>
      </c>
      <c r="AY14" s="811">
        <f>AY12+AY13</f>
        <v>65112.520000000004</v>
      </c>
      <c r="AZ14" s="305">
        <f t="shared" si="2"/>
        <v>16473.751799999998</v>
      </c>
      <c r="BA14" s="691">
        <f t="shared" si="3"/>
        <v>79379.147200000007</v>
      </c>
    </row>
    <row r="16" spans="1:53" x14ac:dyDescent="0.25">
      <c r="V16" s="766"/>
    </row>
    <row r="17" spans="22:22" x14ac:dyDescent="0.25">
      <c r="V17" s="766"/>
    </row>
    <row r="18" spans="22:22" x14ac:dyDescent="0.25">
      <c r="V18" s="766"/>
    </row>
    <row r="19" spans="22:22" x14ac:dyDescent="0.25">
      <c r="V19" s="766"/>
    </row>
    <row r="20" spans="22:22" x14ac:dyDescent="0.25">
      <c r="V20" s="766"/>
    </row>
    <row r="21" spans="22:22" x14ac:dyDescent="0.25">
      <c r="V21" s="766"/>
    </row>
  </sheetData>
  <mergeCells count="29">
    <mergeCell ref="AZ3:BA3"/>
    <mergeCell ref="A1:AZ1"/>
    <mergeCell ref="A2:AZ2"/>
    <mergeCell ref="A3:A4"/>
    <mergeCell ref="D3:E3"/>
    <mergeCell ref="B3:C3"/>
    <mergeCell ref="F3:G3"/>
    <mergeCell ref="H3:I3"/>
    <mergeCell ref="J3:K3"/>
    <mergeCell ref="L3:M3"/>
    <mergeCell ref="N3:O3"/>
    <mergeCell ref="R3:S3"/>
    <mergeCell ref="T3:U3"/>
    <mergeCell ref="V3:W3"/>
    <mergeCell ref="X3:Y3"/>
    <mergeCell ref="Z3:AA3"/>
    <mergeCell ref="P3:Q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BA14"/>
  <sheetViews>
    <sheetView workbookViewId="0">
      <pane xSplit="1" topLeftCell="AX1" activePane="topRight" state="frozen"/>
      <selection pane="topRight" activeCell="AY11" sqref="AY11"/>
    </sheetView>
  </sheetViews>
  <sheetFormatPr defaultRowHeight="14.25" x14ac:dyDescent="0.3"/>
  <cols>
    <col min="1" max="1" width="25" style="7" customWidth="1"/>
    <col min="2" max="2" width="12.85546875" style="7" customWidth="1"/>
    <col min="3" max="15" width="12.85546875" style="7" bestFit="1" customWidth="1"/>
    <col min="16" max="17" width="12.85546875" style="24" bestFit="1" customWidth="1"/>
    <col min="18" max="25" width="12.85546875" style="7" bestFit="1" customWidth="1"/>
    <col min="26" max="27" width="12.85546875" style="24" bestFit="1" customWidth="1"/>
    <col min="28" max="47" width="12.85546875" style="7" bestFit="1" customWidth="1"/>
    <col min="48" max="48" width="11.7109375" style="7" bestFit="1" customWidth="1"/>
    <col min="49" max="53" width="12.85546875" style="7" bestFit="1" customWidth="1"/>
    <col min="54" max="16384" width="9.140625" style="7"/>
  </cols>
  <sheetData>
    <row r="1" spans="1:53" x14ac:dyDescent="0.3">
      <c r="A1" s="1314" t="s">
        <v>13</v>
      </c>
      <c r="B1" s="1314"/>
      <c r="C1" s="1314"/>
      <c r="D1" s="1314"/>
      <c r="E1" s="1314"/>
      <c r="F1" s="1314"/>
      <c r="G1" s="1314"/>
      <c r="H1" s="1314"/>
      <c r="I1" s="1314"/>
      <c r="J1" s="1314"/>
      <c r="K1" s="1314"/>
      <c r="L1" s="1314"/>
      <c r="M1" s="1314"/>
      <c r="N1" s="1314"/>
      <c r="O1" s="1314"/>
      <c r="P1" s="1314"/>
      <c r="Q1" s="1314"/>
      <c r="R1" s="1314"/>
      <c r="S1" s="1314"/>
      <c r="T1" s="1314"/>
      <c r="U1" s="1314"/>
      <c r="V1" s="1314"/>
      <c r="W1" s="1314"/>
      <c r="X1" s="1314"/>
      <c r="Y1" s="1314"/>
      <c r="Z1" s="1314"/>
      <c r="AA1" s="1314"/>
      <c r="AB1" s="1314"/>
      <c r="AC1" s="1314"/>
      <c r="AD1" s="1314"/>
      <c r="AE1" s="1314"/>
      <c r="AF1" s="1314"/>
      <c r="AG1" s="1314"/>
      <c r="AH1" s="1314"/>
      <c r="AI1" s="1314"/>
      <c r="AJ1" s="1314"/>
      <c r="AK1" s="1314"/>
      <c r="AL1" s="1314"/>
      <c r="AM1" s="1314"/>
      <c r="AN1" s="1314"/>
      <c r="AO1" s="1314"/>
      <c r="AP1" s="1314"/>
      <c r="AQ1" s="1314"/>
      <c r="AR1" s="1314"/>
      <c r="AS1" s="1314"/>
      <c r="AT1" s="1314"/>
      <c r="AU1" s="1314"/>
      <c r="AV1" s="1314"/>
      <c r="AW1" s="1314"/>
      <c r="AX1" s="1314"/>
      <c r="AY1" s="1314"/>
      <c r="AZ1" s="1314"/>
    </row>
    <row r="2" spans="1:53" ht="15" thickBot="1" x14ac:dyDescent="0.35">
      <c r="A2" s="1247"/>
      <c r="B2" s="1247"/>
      <c r="C2" s="1247"/>
      <c r="D2" s="1247"/>
      <c r="E2" s="1247"/>
      <c r="F2" s="1247"/>
      <c r="G2" s="1247"/>
      <c r="H2" s="1247"/>
      <c r="I2" s="1247"/>
      <c r="J2" s="1247"/>
      <c r="K2" s="1247"/>
      <c r="L2" s="1247"/>
      <c r="M2" s="1247"/>
      <c r="N2" s="1247"/>
      <c r="O2" s="1247"/>
      <c r="P2" s="1247"/>
      <c r="Q2" s="1247"/>
      <c r="R2" s="1247"/>
      <c r="S2" s="1247"/>
      <c r="T2" s="1247"/>
      <c r="U2" s="1247"/>
      <c r="V2" s="1247"/>
      <c r="W2" s="1247"/>
      <c r="X2" s="1247"/>
      <c r="Y2" s="1247"/>
      <c r="Z2" s="1247"/>
      <c r="AA2" s="1247"/>
      <c r="AB2" s="1247"/>
      <c r="AC2" s="1247"/>
      <c r="AD2" s="1247"/>
      <c r="AE2" s="1247"/>
      <c r="AF2" s="1247"/>
      <c r="AG2" s="1247"/>
      <c r="AH2" s="1247"/>
      <c r="AI2" s="1247"/>
      <c r="AJ2" s="1247"/>
      <c r="AK2" s="1247"/>
      <c r="AL2" s="1247"/>
      <c r="AM2" s="1247"/>
      <c r="AN2" s="1247"/>
      <c r="AO2" s="1247"/>
      <c r="AP2" s="1247"/>
      <c r="AQ2" s="1247"/>
      <c r="AR2" s="1247"/>
      <c r="AS2" s="1247"/>
      <c r="AT2" s="1247"/>
      <c r="AU2" s="1247"/>
      <c r="AV2" s="1247"/>
      <c r="AW2" s="1247"/>
      <c r="AX2" s="1247"/>
      <c r="AY2" s="1247"/>
      <c r="AZ2" s="1247"/>
    </row>
    <row r="3" spans="1:53" ht="39" customHeight="1" thickBot="1" x14ac:dyDescent="0.35">
      <c r="A3" s="1315" t="s">
        <v>0</v>
      </c>
      <c r="B3" s="1319" t="s">
        <v>153</v>
      </c>
      <c r="C3" s="1320"/>
      <c r="D3" s="1319" t="s">
        <v>154</v>
      </c>
      <c r="E3" s="1320"/>
      <c r="F3" s="1321" t="s">
        <v>155</v>
      </c>
      <c r="G3" s="1320"/>
      <c r="H3" s="1319" t="s">
        <v>156</v>
      </c>
      <c r="I3" s="1320"/>
      <c r="J3" s="1321" t="s">
        <v>157</v>
      </c>
      <c r="K3" s="1320"/>
      <c r="L3" s="1319" t="s">
        <v>158</v>
      </c>
      <c r="M3" s="1320"/>
      <c r="N3" s="1319" t="s">
        <v>291</v>
      </c>
      <c r="O3" s="1320"/>
      <c r="P3" s="1203" t="s">
        <v>159</v>
      </c>
      <c r="Q3" s="1203"/>
      <c r="R3" s="1319" t="s">
        <v>160</v>
      </c>
      <c r="S3" s="1320"/>
      <c r="T3" s="1321" t="s">
        <v>161</v>
      </c>
      <c r="U3" s="1321"/>
      <c r="V3" s="1319" t="s">
        <v>162</v>
      </c>
      <c r="W3" s="1320"/>
      <c r="X3" s="1319" t="s">
        <v>163</v>
      </c>
      <c r="Y3" s="1320"/>
      <c r="Z3" s="1203" t="s">
        <v>164</v>
      </c>
      <c r="AA3" s="1203"/>
      <c r="AB3" s="1319" t="s">
        <v>165</v>
      </c>
      <c r="AC3" s="1320"/>
      <c r="AD3" s="1322" t="s">
        <v>166</v>
      </c>
      <c r="AE3" s="1323"/>
      <c r="AF3" s="1319" t="s">
        <v>167</v>
      </c>
      <c r="AG3" s="1321"/>
      <c r="AH3" s="1319" t="s">
        <v>168</v>
      </c>
      <c r="AI3" s="1320"/>
      <c r="AJ3" s="1319" t="s">
        <v>169</v>
      </c>
      <c r="AK3" s="1320"/>
      <c r="AL3" s="1322" t="s">
        <v>170</v>
      </c>
      <c r="AM3" s="1323"/>
      <c r="AN3" s="1321" t="s">
        <v>171</v>
      </c>
      <c r="AO3" s="1321"/>
      <c r="AP3" s="1319" t="s">
        <v>172</v>
      </c>
      <c r="AQ3" s="1320"/>
      <c r="AR3" s="1321" t="s">
        <v>173</v>
      </c>
      <c r="AS3" s="1321"/>
      <c r="AT3" s="1319" t="s">
        <v>174</v>
      </c>
      <c r="AU3" s="1320"/>
      <c r="AV3" s="1321" t="s">
        <v>1</v>
      </c>
      <c r="AW3" s="1321"/>
      <c r="AX3" s="1322" t="s">
        <v>175</v>
      </c>
      <c r="AY3" s="1323"/>
      <c r="AZ3" s="1322" t="s">
        <v>2</v>
      </c>
      <c r="BA3" s="1323"/>
    </row>
    <row r="4" spans="1:53" s="282" customFormat="1" ht="15" thickBot="1" x14ac:dyDescent="0.35">
      <c r="A4" s="1316"/>
      <c r="B4" s="362" t="s">
        <v>290</v>
      </c>
      <c r="C4" s="362" t="s">
        <v>279</v>
      </c>
      <c r="D4" s="812" t="s">
        <v>290</v>
      </c>
      <c r="E4" s="362" t="s">
        <v>279</v>
      </c>
      <c r="F4" s="362" t="s">
        <v>290</v>
      </c>
      <c r="G4" s="362" t="s">
        <v>279</v>
      </c>
      <c r="H4" s="812" t="s">
        <v>290</v>
      </c>
      <c r="I4" s="362" t="s">
        <v>279</v>
      </c>
      <c r="J4" s="362" t="s">
        <v>290</v>
      </c>
      <c r="K4" s="362" t="s">
        <v>279</v>
      </c>
      <c r="L4" s="362" t="s">
        <v>290</v>
      </c>
      <c r="M4" s="362" t="s">
        <v>279</v>
      </c>
      <c r="N4" s="362" t="s">
        <v>290</v>
      </c>
      <c r="O4" s="362" t="s">
        <v>279</v>
      </c>
      <c r="P4" s="812" t="s">
        <v>290</v>
      </c>
      <c r="Q4" s="362" t="s">
        <v>279</v>
      </c>
      <c r="R4" s="362" t="s">
        <v>290</v>
      </c>
      <c r="S4" s="362" t="s">
        <v>279</v>
      </c>
      <c r="T4" s="812" t="s">
        <v>290</v>
      </c>
      <c r="U4" s="361" t="s">
        <v>279</v>
      </c>
      <c r="V4" s="828" t="s">
        <v>290</v>
      </c>
      <c r="W4" s="595" t="s">
        <v>279</v>
      </c>
      <c r="X4" s="812" t="s">
        <v>290</v>
      </c>
      <c r="Y4" s="362" t="s">
        <v>279</v>
      </c>
      <c r="Z4" s="362" t="s">
        <v>290</v>
      </c>
      <c r="AA4" s="362" t="s">
        <v>279</v>
      </c>
      <c r="AB4" s="812" t="s">
        <v>290</v>
      </c>
      <c r="AC4" s="362" t="s">
        <v>279</v>
      </c>
      <c r="AD4" s="362" t="s">
        <v>290</v>
      </c>
      <c r="AE4" s="362" t="s">
        <v>279</v>
      </c>
      <c r="AF4" s="812" t="s">
        <v>290</v>
      </c>
      <c r="AG4" s="362" t="s">
        <v>279</v>
      </c>
      <c r="AH4" s="362" t="s">
        <v>290</v>
      </c>
      <c r="AI4" s="362" t="s">
        <v>279</v>
      </c>
      <c r="AJ4" s="362" t="s">
        <v>290</v>
      </c>
      <c r="AK4" s="362" t="s">
        <v>279</v>
      </c>
      <c r="AL4" s="362" t="s">
        <v>290</v>
      </c>
      <c r="AM4" s="362" t="s">
        <v>279</v>
      </c>
      <c r="AN4" s="812" t="s">
        <v>290</v>
      </c>
      <c r="AO4" s="362" t="s">
        <v>279</v>
      </c>
      <c r="AP4" s="362" t="s">
        <v>290</v>
      </c>
      <c r="AQ4" s="362" t="s">
        <v>279</v>
      </c>
      <c r="AR4" s="812" t="s">
        <v>290</v>
      </c>
      <c r="AS4" s="362" t="s">
        <v>279</v>
      </c>
      <c r="AT4" s="362" t="s">
        <v>290</v>
      </c>
      <c r="AU4" s="362" t="s">
        <v>279</v>
      </c>
      <c r="AV4" s="362" t="s">
        <v>290</v>
      </c>
      <c r="AW4" s="362" t="s">
        <v>279</v>
      </c>
      <c r="AX4" s="362" t="s">
        <v>290</v>
      </c>
      <c r="AY4" s="362" t="s">
        <v>279</v>
      </c>
      <c r="AZ4" s="362" t="s">
        <v>290</v>
      </c>
      <c r="BA4" s="362" t="s">
        <v>279</v>
      </c>
    </row>
    <row r="5" spans="1:53" s="511" customFormat="1" ht="13.5" x14ac:dyDescent="0.25">
      <c r="A5" s="253" t="s">
        <v>3</v>
      </c>
      <c r="B5" s="358">
        <v>7910</v>
      </c>
      <c r="C5" s="356">
        <v>14603</v>
      </c>
      <c r="D5" s="358"/>
      <c r="E5" s="356"/>
      <c r="F5" s="354"/>
      <c r="G5" s="356">
        <v>150</v>
      </c>
      <c r="H5" s="358">
        <v>1220</v>
      </c>
      <c r="I5" s="356">
        <v>2769</v>
      </c>
      <c r="J5" s="354"/>
      <c r="K5" s="356"/>
      <c r="L5" s="358"/>
      <c r="M5" s="356"/>
      <c r="N5" s="358">
        <v>91</v>
      </c>
      <c r="O5" s="356"/>
      <c r="P5" s="354">
        <v>1369</v>
      </c>
      <c r="Q5" s="515">
        <v>27</v>
      </c>
      <c r="R5" s="358"/>
      <c r="S5" s="356"/>
      <c r="T5" s="354">
        <v>372</v>
      </c>
      <c r="U5" s="515">
        <v>1487</v>
      </c>
      <c r="V5" s="831">
        <v>755</v>
      </c>
      <c r="W5" s="832">
        <v>2638</v>
      </c>
      <c r="X5" s="354">
        <v>32304</v>
      </c>
      <c r="Y5" s="356">
        <v>111402</v>
      </c>
      <c r="Z5" s="354"/>
      <c r="AA5" s="515"/>
      <c r="AB5" s="248"/>
      <c r="AC5" s="165"/>
      <c r="AD5" s="358">
        <v>38</v>
      </c>
      <c r="AE5" s="356">
        <v>61</v>
      </c>
      <c r="AF5" s="355">
        <v>9003</v>
      </c>
      <c r="AG5" s="515">
        <v>7625</v>
      </c>
      <c r="AH5" s="358">
        <v>113</v>
      </c>
      <c r="AI5" s="356">
        <v>186</v>
      </c>
      <c r="AJ5" s="358"/>
      <c r="AK5" s="356"/>
      <c r="AL5" s="358"/>
      <c r="AM5" s="356"/>
      <c r="AN5" s="516">
        <v>147571</v>
      </c>
      <c r="AO5" s="815">
        <v>5134</v>
      </c>
      <c r="AP5" s="358"/>
      <c r="AQ5" s="356"/>
      <c r="AR5" s="354">
        <v>37</v>
      </c>
      <c r="AS5" s="515">
        <v>2</v>
      </c>
      <c r="AT5" s="358">
        <v>6490</v>
      </c>
      <c r="AU5" s="356">
        <v>11438</v>
      </c>
      <c r="AV5" s="354">
        <f t="shared" ref="AV5:AV14" si="0">SUM(B5+D5+F5+H5+J5+L5+N5+P5+R5+T5+V5+X5+Z5+P5+AD5+AF5+AH5+AJ5+AL5+AN5+AP5+AR5+AT5)</f>
        <v>208642</v>
      </c>
      <c r="AW5" s="729">
        <f t="shared" ref="AW5:AW14" si="1">SUM(C5+E5+G5+I5+K5+M5+O5+Q5+S5+U5+W5+Y5+AA5+Q5+AE5+AG5+AI5+AK5+AM5+AO5+AQ5+AS5+AU5)</f>
        <v>157549</v>
      </c>
      <c r="AX5" s="358"/>
      <c r="AY5" s="356">
        <v>323775</v>
      </c>
      <c r="AZ5" s="358">
        <f t="shared" ref="AZ5:AZ14" si="2">AV5+AX5</f>
        <v>208642</v>
      </c>
      <c r="BA5" s="517">
        <f t="shared" ref="BA5:BA14" si="3">AW5+AY5</f>
        <v>481324</v>
      </c>
    </row>
    <row r="6" spans="1:53" s="511" customFormat="1" ht="13.5" x14ac:dyDescent="0.25">
      <c r="A6" s="253" t="s">
        <v>4</v>
      </c>
      <c r="B6" s="8">
        <v>3419</v>
      </c>
      <c r="C6" s="356">
        <v>171024</v>
      </c>
      <c r="D6" s="20"/>
      <c r="E6" s="23"/>
      <c r="F6" s="22"/>
      <c r="G6" s="356"/>
      <c r="H6" s="20">
        <v>1880594</v>
      </c>
      <c r="I6" s="356">
        <v>6863872</v>
      </c>
      <c r="J6" s="22">
        <v>24606</v>
      </c>
      <c r="K6" s="23">
        <v>11702</v>
      </c>
      <c r="L6" s="20">
        <v>3986615</v>
      </c>
      <c r="M6" s="23">
        <v>2680073</v>
      </c>
      <c r="N6" s="20">
        <v>23</v>
      </c>
      <c r="O6" s="23">
        <v>3866</v>
      </c>
      <c r="P6" s="22">
        <v>56353</v>
      </c>
      <c r="Q6" s="515">
        <v>51849</v>
      </c>
      <c r="R6" s="20">
        <v>162</v>
      </c>
      <c r="S6" s="356">
        <v>189708</v>
      </c>
      <c r="T6" s="22">
        <v>5905</v>
      </c>
      <c r="U6" s="515">
        <v>26201</v>
      </c>
      <c r="V6" s="818">
        <v>4521209</v>
      </c>
      <c r="W6" s="833">
        <v>10705531</v>
      </c>
      <c r="X6" s="22">
        <v>310361</v>
      </c>
      <c r="Y6" s="356">
        <v>699639</v>
      </c>
      <c r="Z6" s="512">
        <v>4548</v>
      </c>
      <c r="AA6" s="515">
        <v>10711</v>
      </c>
      <c r="AB6" s="20">
        <v>61357</v>
      </c>
      <c r="AC6" s="23">
        <v>111578</v>
      </c>
      <c r="AD6" s="20">
        <v>1157616</v>
      </c>
      <c r="AE6" s="356">
        <v>1806605</v>
      </c>
      <c r="AF6" s="19">
        <v>675419</v>
      </c>
      <c r="AG6" s="515">
        <v>1501470</v>
      </c>
      <c r="AH6" s="20">
        <v>220441</v>
      </c>
      <c r="AI6" s="356">
        <v>631091</v>
      </c>
      <c r="AJ6" s="20"/>
      <c r="AK6" s="356"/>
      <c r="AL6" s="20"/>
      <c r="AM6" s="23"/>
      <c r="AN6" s="510">
        <v>547304</v>
      </c>
      <c r="AO6" s="815">
        <v>269910</v>
      </c>
      <c r="AP6" s="818"/>
      <c r="AQ6" s="513">
        <v>1</v>
      </c>
      <c r="AR6" s="18">
        <v>1921643</v>
      </c>
      <c r="AS6" s="515">
        <v>680044</v>
      </c>
      <c r="AT6" s="20">
        <v>135</v>
      </c>
      <c r="AU6" s="356">
        <v>35</v>
      </c>
      <c r="AV6" s="9">
        <f t="shared" si="0"/>
        <v>15372706</v>
      </c>
      <c r="AW6" s="821">
        <f t="shared" si="1"/>
        <v>26355181</v>
      </c>
      <c r="AX6" s="825"/>
      <c r="AY6" s="356">
        <v>17347</v>
      </c>
      <c r="AZ6" s="8">
        <f t="shared" si="2"/>
        <v>15372706</v>
      </c>
      <c r="BA6" s="237">
        <f t="shared" si="3"/>
        <v>26372528</v>
      </c>
    </row>
    <row r="7" spans="1:53" s="511" customFormat="1" ht="13.5" x14ac:dyDescent="0.25">
      <c r="A7" s="253" t="s">
        <v>5</v>
      </c>
      <c r="B7" s="8">
        <v>172538</v>
      </c>
      <c r="C7" s="356">
        <v>444456</v>
      </c>
      <c r="D7" s="20">
        <v>13860</v>
      </c>
      <c r="E7" s="23"/>
      <c r="F7" s="22"/>
      <c r="G7" s="356"/>
      <c r="H7" s="20">
        <v>56800</v>
      </c>
      <c r="I7" s="356">
        <v>2146721</v>
      </c>
      <c r="J7" s="22">
        <v>19</v>
      </c>
      <c r="K7" s="23">
        <v>66</v>
      </c>
      <c r="L7" s="20">
        <v>2879</v>
      </c>
      <c r="M7" s="23">
        <v>5219</v>
      </c>
      <c r="N7" s="20">
        <v>686471</v>
      </c>
      <c r="O7" s="23">
        <v>545604</v>
      </c>
      <c r="P7" s="22"/>
      <c r="Q7" s="515"/>
      <c r="R7" s="20"/>
      <c r="S7" s="356"/>
      <c r="T7" s="22">
        <v>-36</v>
      </c>
      <c r="U7" s="515">
        <v>180</v>
      </c>
      <c r="V7" s="818">
        <v>728408</v>
      </c>
      <c r="W7" s="833">
        <v>2119247</v>
      </c>
      <c r="X7" s="22">
        <v>323162</v>
      </c>
      <c r="Y7" s="356">
        <v>60669</v>
      </c>
      <c r="Z7" s="512"/>
      <c r="AA7" s="515"/>
      <c r="AB7" s="20"/>
      <c r="AC7" s="23"/>
      <c r="AD7" s="20">
        <v>567769</v>
      </c>
      <c r="AE7" s="356">
        <v>627294</v>
      </c>
      <c r="AF7" s="19">
        <v>5382</v>
      </c>
      <c r="AG7" s="515"/>
      <c r="AH7" s="20">
        <v>2480</v>
      </c>
      <c r="AI7" s="356">
        <v>3094</v>
      </c>
      <c r="AJ7" s="20"/>
      <c r="AK7" s="356"/>
      <c r="AL7" s="20"/>
      <c r="AM7" s="23"/>
      <c r="AN7" s="510">
        <v>4807</v>
      </c>
      <c r="AO7" s="815">
        <v>7984</v>
      </c>
      <c r="AP7" s="818">
        <v>423197</v>
      </c>
      <c r="AQ7" s="513">
        <v>244232</v>
      </c>
      <c r="AR7" s="18"/>
      <c r="AS7" s="515"/>
      <c r="AT7" s="20"/>
      <c r="AU7" s="356"/>
      <c r="AV7" s="9">
        <f t="shared" si="0"/>
        <v>2987736</v>
      </c>
      <c r="AW7" s="821">
        <f t="shared" si="1"/>
        <v>6204766</v>
      </c>
      <c r="AX7" s="825"/>
      <c r="AY7" s="356">
        <v>4625</v>
      </c>
      <c r="AZ7" s="8">
        <f t="shared" si="2"/>
        <v>2987736</v>
      </c>
      <c r="BA7" s="237">
        <f t="shared" si="3"/>
        <v>6209391</v>
      </c>
    </row>
    <row r="8" spans="1:53" s="511" customFormat="1" ht="13.5" x14ac:dyDescent="0.25">
      <c r="A8" s="253" t="s">
        <v>6</v>
      </c>
      <c r="B8" s="8">
        <v>259599</v>
      </c>
      <c r="C8" s="356">
        <v>339187</v>
      </c>
      <c r="D8" s="20">
        <v>39969</v>
      </c>
      <c r="E8" s="23">
        <v>34306</v>
      </c>
      <c r="F8" s="22"/>
      <c r="G8" s="356">
        <v>184212</v>
      </c>
      <c r="H8" s="20">
        <v>229737</v>
      </c>
      <c r="I8" s="356">
        <v>596115</v>
      </c>
      <c r="J8" s="22"/>
      <c r="K8" s="23"/>
      <c r="L8" s="20">
        <v>169593</v>
      </c>
      <c r="M8" s="23">
        <v>149</v>
      </c>
      <c r="N8" s="20">
        <v>202379</v>
      </c>
      <c r="O8" s="23">
        <v>1244729</v>
      </c>
      <c r="P8" s="22">
        <v>16412</v>
      </c>
      <c r="Q8" s="515">
        <v>30747</v>
      </c>
      <c r="R8" s="20">
        <v>231443</v>
      </c>
      <c r="S8" s="356">
        <v>685725</v>
      </c>
      <c r="T8" s="22">
        <v>28175</v>
      </c>
      <c r="U8" s="515">
        <v>27780</v>
      </c>
      <c r="V8" s="818">
        <v>425648</v>
      </c>
      <c r="W8" s="833">
        <v>1223876</v>
      </c>
      <c r="X8" s="22">
        <v>466880</v>
      </c>
      <c r="Y8" s="356">
        <v>1626157</v>
      </c>
      <c r="Z8" s="512"/>
      <c r="AA8" s="515"/>
      <c r="AB8" s="20">
        <v>234670</v>
      </c>
      <c r="AC8" s="23">
        <v>230829</v>
      </c>
      <c r="AD8" s="20">
        <v>128955</v>
      </c>
      <c r="AE8" s="356">
        <v>414157</v>
      </c>
      <c r="AF8" s="19">
        <v>175021</v>
      </c>
      <c r="AG8" s="515">
        <v>182554</v>
      </c>
      <c r="AH8" s="20">
        <v>288808</v>
      </c>
      <c r="AI8" s="356">
        <v>452325</v>
      </c>
      <c r="AJ8" s="20">
        <v>1157</v>
      </c>
      <c r="AK8" s="356">
        <v>267</v>
      </c>
      <c r="AL8" s="20"/>
      <c r="AM8" s="23"/>
      <c r="AN8" s="510">
        <v>202122</v>
      </c>
      <c r="AO8" s="815">
        <v>369721</v>
      </c>
      <c r="AP8" s="818">
        <v>2899</v>
      </c>
      <c r="AQ8" s="513">
        <v>84307</v>
      </c>
      <c r="AR8" s="18">
        <v>19124</v>
      </c>
      <c r="AS8" s="515">
        <v>2117</v>
      </c>
      <c r="AT8" s="20">
        <v>61253</v>
      </c>
      <c r="AU8" s="356">
        <v>129905</v>
      </c>
      <c r="AV8" s="9">
        <f t="shared" si="0"/>
        <v>2965586</v>
      </c>
      <c r="AW8" s="821">
        <f t="shared" si="1"/>
        <v>7659083</v>
      </c>
      <c r="AX8" s="825"/>
      <c r="AY8" s="356">
        <v>9650</v>
      </c>
      <c r="AZ8" s="8">
        <f t="shared" si="2"/>
        <v>2965586</v>
      </c>
      <c r="BA8" s="237">
        <f t="shared" si="3"/>
        <v>7668733</v>
      </c>
    </row>
    <row r="9" spans="1:53" s="511" customFormat="1" ht="13.5" x14ac:dyDescent="0.25">
      <c r="A9" s="253" t="s">
        <v>7</v>
      </c>
      <c r="B9" s="8"/>
      <c r="C9" s="356"/>
      <c r="D9" s="20"/>
      <c r="E9" s="23"/>
      <c r="F9" s="22"/>
      <c r="G9" s="356"/>
      <c r="H9" s="20">
        <v>407349</v>
      </c>
      <c r="I9" s="356">
        <v>782758</v>
      </c>
      <c r="J9" s="22"/>
      <c r="K9" s="23"/>
      <c r="L9" s="20"/>
      <c r="M9" s="23"/>
      <c r="N9" s="20">
        <v>48636</v>
      </c>
      <c r="O9" s="23">
        <v>328929</v>
      </c>
      <c r="P9" s="22"/>
      <c r="Q9" s="515"/>
      <c r="R9" s="20"/>
      <c r="S9" s="356"/>
      <c r="T9" s="22"/>
      <c r="U9" s="515"/>
      <c r="V9" s="818">
        <v>50408</v>
      </c>
      <c r="W9" s="833">
        <v>70066</v>
      </c>
      <c r="X9" s="22"/>
      <c r="Y9" s="356"/>
      <c r="Z9" s="512"/>
      <c r="AA9" s="515"/>
      <c r="AB9" s="20"/>
      <c r="AC9" s="23"/>
      <c r="AD9" s="20">
        <v>569106</v>
      </c>
      <c r="AE9" s="356">
        <v>1662654</v>
      </c>
      <c r="AF9" s="19"/>
      <c r="AG9" s="515"/>
      <c r="AH9" s="20"/>
      <c r="AI9" s="356"/>
      <c r="AJ9" s="20"/>
      <c r="AK9" s="356"/>
      <c r="AL9" s="20"/>
      <c r="AM9" s="23"/>
      <c r="AN9" s="510"/>
      <c r="AO9" s="815"/>
      <c r="AP9" s="818"/>
      <c r="AQ9" s="513"/>
      <c r="AR9" s="18"/>
      <c r="AS9" s="515"/>
      <c r="AT9" s="20"/>
      <c r="AU9" s="356"/>
      <c r="AV9" s="9">
        <f t="shared" si="0"/>
        <v>1075499</v>
      </c>
      <c r="AW9" s="821">
        <f t="shared" si="1"/>
        <v>2844407</v>
      </c>
      <c r="AX9" s="825"/>
      <c r="AY9" s="356"/>
      <c r="AZ9" s="8">
        <f t="shared" si="2"/>
        <v>1075499</v>
      </c>
      <c r="BA9" s="237">
        <f t="shared" si="3"/>
        <v>2844407</v>
      </c>
    </row>
    <row r="10" spans="1:53" s="511" customFormat="1" ht="13.5" x14ac:dyDescent="0.25">
      <c r="A10" s="253" t="s">
        <v>8</v>
      </c>
      <c r="B10" s="8">
        <v>195699</v>
      </c>
      <c r="C10" s="356">
        <v>537744</v>
      </c>
      <c r="D10" s="20">
        <v>6750</v>
      </c>
      <c r="E10" s="23">
        <v>38365</v>
      </c>
      <c r="F10" s="22"/>
      <c r="G10" s="356">
        <v>32225</v>
      </c>
      <c r="H10" s="20">
        <v>3140027</v>
      </c>
      <c r="I10" s="356">
        <v>4718301</v>
      </c>
      <c r="J10" s="22">
        <v>1026202</v>
      </c>
      <c r="K10" s="23">
        <v>29606</v>
      </c>
      <c r="L10" s="20">
        <v>29913</v>
      </c>
      <c r="M10" s="23">
        <v>1809</v>
      </c>
      <c r="N10" s="20">
        <v>794847</v>
      </c>
      <c r="O10" s="23">
        <v>3884661</v>
      </c>
      <c r="P10" s="22">
        <v>5626</v>
      </c>
      <c r="Q10" s="515">
        <v>21145</v>
      </c>
      <c r="R10" s="20">
        <v>10280</v>
      </c>
      <c r="S10" s="356">
        <v>40090</v>
      </c>
      <c r="T10" s="22">
        <v>5564</v>
      </c>
      <c r="U10" s="515">
        <v>298776</v>
      </c>
      <c r="V10" s="818">
        <v>4037214</v>
      </c>
      <c r="W10" s="833">
        <v>14136973</v>
      </c>
      <c r="X10" s="22">
        <v>5233110</v>
      </c>
      <c r="Y10" s="356">
        <v>11310291</v>
      </c>
      <c r="Z10" s="512">
        <v>948</v>
      </c>
      <c r="AA10" s="515">
        <v>46921</v>
      </c>
      <c r="AB10" s="20">
        <v>939818</v>
      </c>
      <c r="AC10" s="23">
        <v>1581117</v>
      </c>
      <c r="AD10" s="724">
        <v>1955346</v>
      </c>
      <c r="AE10" s="356">
        <v>2826136</v>
      </c>
      <c r="AF10" s="19">
        <v>616869</v>
      </c>
      <c r="AG10" s="515">
        <v>916746</v>
      </c>
      <c r="AH10" s="20">
        <v>113568</v>
      </c>
      <c r="AI10" s="356">
        <v>621873</v>
      </c>
      <c r="AJ10" s="20">
        <v>-57100</v>
      </c>
      <c r="AK10" s="356">
        <v>648764</v>
      </c>
      <c r="AL10" s="20"/>
      <c r="AM10" s="23"/>
      <c r="AN10" s="510">
        <v>3061858</v>
      </c>
      <c r="AO10" s="815">
        <v>1612134</v>
      </c>
      <c r="AP10" s="818">
        <v>575503</v>
      </c>
      <c r="AQ10" s="513">
        <v>1127175</v>
      </c>
      <c r="AR10" s="18">
        <v>1915</v>
      </c>
      <c r="AS10" s="515">
        <v>2254</v>
      </c>
      <c r="AT10" s="20">
        <v>200663</v>
      </c>
      <c r="AU10" s="356">
        <v>131102</v>
      </c>
      <c r="AV10" s="9">
        <f t="shared" si="0"/>
        <v>20960428</v>
      </c>
      <c r="AW10" s="821">
        <f t="shared" si="1"/>
        <v>43004236</v>
      </c>
      <c r="AX10" s="20"/>
      <c r="AY10" s="356">
        <v>10903611</v>
      </c>
      <c r="AZ10" s="8">
        <f t="shared" si="2"/>
        <v>20960428</v>
      </c>
      <c r="BA10" s="237">
        <f t="shared" si="3"/>
        <v>53907847</v>
      </c>
    </row>
    <row r="11" spans="1:53" s="511" customFormat="1" thickBot="1" x14ac:dyDescent="0.3">
      <c r="A11" s="253" t="s">
        <v>9</v>
      </c>
      <c r="B11" s="481"/>
      <c r="C11" s="537"/>
      <c r="D11" s="487"/>
      <c r="E11" s="541"/>
      <c r="F11" s="483"/>
      <c r="G11" s="541"/>
      <c r="H11" s="487"/>
      <c r="I11" s="541"/>
      <c r="J11" s="483"/>
      <c r="K11" s="541"/>
      <c r="L11" s="487"/>
      <c r="M11" s="23"/>
      <c r="N11" s="487"/>
      <c r="O11" s="23"/>
      <c r="P11" s="483"/>
      <c r="Q11" s="515"/>
      <c r="R11" s="487"/>
      <c r="S11" s="356"/>
      <c r="T11" s="483"/>
      <c r="U11" s="515"/>
      <c r="V11" s="42"/>
      <c r="W11" s="834"/>
      <c r="X11" s="483">
        <f>24+27555</f>
        <v>27579</v>
      </c>
      <c r="Y11" s="356"/>
      <c r="Z11" s="542"/>
      <c r="AA11" s="515"/>
      <c r="AB11" s="487"/>
      <c r="AC11" s="541"/>
      <c r="AD11" s="725"/>
      <c r="AE11" s="484"/>
      <c r="AF11" s="540"/>
      <c r="AG11" s="515"/>
      <c r="AH11" s="487"/>
      <c r="AI11" s="356"/>
      <c r="AJ11" s="487"/>
      <c r="AK11" s="541"/>
      <c r="AL11" s="487"/>
      <c r="AM11" s="541"/>
      <c r="AN11" s="543"/>
      <c r="AO11" s="816"/>
      <c r="AP11" s="819"/>
      <c r="AQ11" s="544"/>
      <c r="AR11" s="545"/>
      <c r="AS11" s="814"/>
      <c r="AT11" s="487"/>
      <c r="AU11" s="541">
        <v>53</v>
      </c>
      <c r="AV11" s="486">
        <f t="shared" si="0"/>
        <v>27579</v>
      </c>
      <c r="AW11" s="822">
        <f t="shared" si="1"/>
        <v>53</v>
      </c>
      <c r="AX11" s="487"/>
      <c r="AY11" s="356"/>
      <c r="AZ11" s="481">
        <f t="shared" si="2"/>
        <v>27579</v>
      </c>
      <c r="BA11" s="482">
        <f t="shared" si="3"/>
        <v>53</v>
      </c>
    </row>
    <row r="12" spans="1:53" s="282" customFormat="1" ht="15" thickBot="1" x14ac:dyDescent="0.35">
      <c r="A12" s="518" t="s">
        <v>10</v>
      </c>
      <c r="B12" s="470">
        <f t="shared" ref="B12:AG12" si="4">SUM(B5:B11)</f>
        <v>639165</v>
      </c>
      <c r="C12" s="473">
        <f t="shared" si="4"/>
        <v>1507014</v>
      </c>
      <c r="D12" s="470">
        <f t="shared" si="4"/>
        <v>60579</v>
      </c>
      <c r="E12" s="473">
        <f t="shared" si="4"/>
        <v>72671</v>
      </c>
      <c r="F12" s="474">
        <f t="shared" si="4"/>
        <v>0</v>
      </c>
      <c r="G12" s="473">
        <f t="shared" si="4"/>
        <v>216587</v>
      </c>
      <c r="H12" s="470">
        <f t="shared" si="4"/>
        <v>5715727</v>
      </c>
      <c r="I12" s="473">
        <f t="shared" si="4"/>
        <v>15110536</v>
      </c>
      <c r="J12" s="474">
        <f t="shared" si="4"/>
        <v>1050827</v>
      </c>
      <c r="K12" s="473">
        <f t="shared" si="4"/>
        <v>41374</v>
      </c>
      <c r="L12" s="470">
        <f t="shared" si="4"/>
        <v>4189000</v>
      </c>
      <c r="M12" s="473">
        <f t="shared" si="4"/>
        <v>2687250</v>
      </c>
      <c r="N12" s="470">
        <f t="shared" si="4"/>
        <v>1732447</v>
      </c>
      <c r="O12" s="473">
        <f t="shared" si="4"/>
        <v>6007789</v>
      </c>
      <c r="P12" s="474">
        <f>SUM(P5:P11)</f>
        <v>79760</v>
      </c>
      <c r="Q12" s="538">
        <f>SUM(Q5:Q11)</f>
        <v>103768</v>
      </c>
      <c r="R12" s="470">
        <f t="shared" si="4"/>
        <v>241885</v>
      </c>
      <c r="S12" s="473">
        <f t="shared" si="4"/>
        <v>915523</v>
      </c>
      <c r="T12" s="474">
        <f t="shared" si="4"/>
        <v>39980</v>
      </c>
      <c r="U12" s="538">
        <f t="shared" si="4"/>
        <v>354424</v>
      </c>
      <c r="V12" s="829">
        <f t="shared" si="4"/>
        <v>9763642</v>
      </c>
      <c r="W12" s="830">
        <f t="shared" si="4"/>
        <v>28258331</v>
      </c>
      <c r="X12" s="470">
        <f>SUM(X5:X11)</f>
        <v>6393396</v>
      </c>
      <c r="Y12" s="473">
        <f t="shared" si="4"/>
        <v>13808158</v>
      </c>
      <c r="Z12" s="474">
        <f t="shared" si="4"/>
        <v>5496</v>
      </c>
      <c r="AA12" s="538">
        <f t="shared" si="4"/>
        <v>57632</v>
      </c>
      <c r="AB12" s="470">
        <f t="shared" si="4"/>
        <v>1235845</v>
      </c>
      <c r="AC12" s="473">
        <f t="shared" si="4"/>
        <v>1923524</v>
      </c>
      <c r="AD12" s="470">
        <f t="shared" si="4"/>
        <v>4378830</v>
      </c>
      <c r="AE12" s="473">
        <f t="shared" si="4"/>
        <v>7336907</v>
      </c>
      <c r="AF12" s="472">
        <f t="shared" si="4"/>
        <v>1481694</v>
      </c>
      <c r="AG12" s="538">
        <f t="shared" si="4"/>
        <v>2608395</v>
      </c>
      <c r="AH12" s="470">
        <f t="shared" ref="AH12:AU12" si="5">SUM(AH5:AH11)</f>
        <v>625410</v>
      </c>
      <c r="AI12" s="473">
        <f t="shared" si="5"/>
        <v>1708569</v>
      </c>
      <c r="AJ12" s="470">
        <f t="shared" si="5"/>
        <v>-55943</v>
      </c>
      <c r="AK12" s="473">
        <f t="shared" si="5"/>
        <v>649031</v>
      </c>
      <c r="AL12" s="470">
        <f t="shared" si="5"/>
        <v>0</v>
      </c>
      <c r="AM12" s="473">
        <f t="shared" si="5"/>
        <v>0</v>
      </c>
      <c r="AN12" s="474">
        <f t="shared" si="5"/>
        <v>3963662</v>
      </c>
      <c r="AO12" s="538">
        <f t="shared" si="5"/>
        <v>2264883</v>
      </c>
      <c r="AP12" s="470">
        <f t="shared" si="5"/>
        <v>1001599</v>
      </c>
      <c r="AQ12" s="473">
        <f t="shared" si="5"/>
        <v>1455715</v>
      </c>
      <c r="AR12" s="474">
        <f t="shared" si="5"/>
        <v>1942719</v>
      </c>
      <c r="AS12" s="538">
        <f t="shared" si="5"/>
        <v>684417</v>
      </c>
      <c r="AT12" s="470">
        <f t="shared" si="5"/>
        <v>268541</v>
      </c>
      <c r="AU12" s="473">
        <f t="shared" si="5"/>
        <v>272533</v>
      </c>
      <c r="AV12" s="474">
        <f t="shared" si="0"/>
        <v>43598176</v>
      </c>
      <c r="AW12" s="823">
        <f t="shared" si="1"/>
        <v>86225275</v>
      </c>
      <c r="AX12" s="478">
        <f>SUM(AX5:AX11)</f>
        <v>0</v>
      </c>
      <c r="AY12" s="479">
        <f>SUM(AY5:AY11)</f>
        <v>11259008</v>
      </c>
      <c r="AZ12" s="470">
        <f t="shared" si="2"/>
        <v>43598176</v>
      </c>
      <c r="BA12" s="539">
        <f t="shared" si="3"/>
        <v>97484283</v>
      </c>
    </row>
    <row r="13" spans="1:53" ht="15" thickBot="1" x14ac:dyDescent="0.35">
      <c r="A13" s="247" t="s">
        <v>11</v>
      </c>
      <c r="B13" s="546"/>
      <c r="C13" s="547"/>
      <c r="D13" s="607"/>
      <c r="E13" s="550"/>
      <c r="F13" s="548"/>
      <c r="G13" s="550"/>
      <c r="H13" s="607"/>
      <c r="I13" s="550"/>
      <c r="J13" s="827"/>
      <c r="K13" s="551"/>
      <c r="L13" s="607"/>
      <c r="M13" s="550"/>
      <c r="N13" s="607"/>
      <c r="O13" s="550"/>
      <c r="P13" s="548"/>
      <c r="Q13" s="552"/>
      <c r="R13" s="607"/>
      <c r="S13" s="550"/>
      <c r="T13" s="548">
        <v>0</v>
      </c>
      <c r="U13" s="552"/>
      <c r="V13" s="238"/>
      <c r="W13" s="550"/>
      <c r="X13" s="607"/>
      <c r="Y13" s="550"/>
      <c r="Z13" s="548"/>
      <c r="AA13" s="552"/>
      <c r="AB13" s="553"/>
      <c r="AC13" s="554"/>
      <c r="AD13" s="607"/>
      <c r="AE13" s="550"/>
      <c r="AF13" s="549"/>
      <c r="AG13" s="552"/>
      <c r="AH13" s="607"/>
      <c r="AI13" s="550"/>
      <c r="AJ13" s="607"/>
      <c r="AK13" s="550"/>
      <c r="AL13" s="608"/>
      <c r="AM13" s="551"/>
      <c r="AN13" s="555"/>
      <c r="AO13" s="817"/>
      <c r="AP13" s="820"/>
      <c r="AQ13" s="556"/>
      <c r="AR13" s="557">
        <v>0</v>
      </c>
      <c r="AS13" s="813">
        <v>0</v>
      </c>
      <c r="AT13" s="607"/>
      <c r="AU13" s="550"/>
      <c r="AV13" s="559">
        <f t="shared" si="0"/>
        <v>0</v>
      </c>
      <c r="AW13" s="824">
        <f t="shared" si="1"/>
        <v>0</v>
      </c>
      <c r="AX13" s="826"/>
      <c r="AY13" s="558"/>
      <c r="AZ13" s="546">
        <f t="shared" si="2"/>
        <v>0</v>
      </c>
      <c r="BA13" s="560">
        <f t="shared" si="3"/>
        <v>0</v>
      </c>
    </row>
    <row r="14" spans="1:53" s="282" customFormat="1" ht="15" thickBot="1" x14ac:dyDescent="0.35">
      <c r="A14" s="518" t="s">
        <v>12</v>
      </c>
      <c r="B14" s="470">
        <f t="shared" ref="B14:AG14" si="6">B12+B13</f>
        <v>639165</v>
      </c>
      <c r="C14" s="473">
        <f t="shared" si="6"/>
        <v>1507014</v>
      </c>
      <c r="D14" s="470">
        <f t="shared" si="6"/>
        <v>60579</v>
      </c>
      <c r="E14" s="473">
        <f t="shared" si="6"/>
        <v>72671</v>
      </c>
      <c r="F14" s="474">
        <f t="shared" si="6"/>
        <v>0</v>
      </c>
      <c r="G14" s="473">
        <f t="shared" si="6"/>
        <v>216587</v>
      </c>
      <c r="H14" s="470">
        <f t="shared" si="6"/>
        <v>5715727</v>
      </c>
      <c r="I14" s="473">
        <f t="shared" si="6"/>
        <v>15110536</v>
      </c>
      <c r="J14" s="474">
        <f t="shared" si="6"/>
        <v>1050827</v>
      </c>
      <c r="K14" s="473">
        <f t="shared" si="6"/>
        <v>41374</v>
      </c>
      <c r="L14" s="470">
        <f t="shared" si="6"/>
        <v>4189000</v>
      </c>
      <c r="M14" s="473">
        <f t="shared" si="6"/>
        <v>2687250</v>
      </c>
      <c r="N14" s="470">
        <f t="shared" si="6"/>
        <v>1732447</v>
      </c>
      <c r="O14" s="473">
        <f t="shared" si="6"/>
        <v>6007789</v>
      </c>
      <c r="P14" s="474">
        <f>P12+P13</f>
        <v>79760</v>
      </c>
      <c r="Q14" s="538">
        <f>Q12+Q13</f>
        <v>103768</v>
      </c>
      <c r="R14" s="470">
        <f t="shared" si="6"/>
        <v>241885</v>
      </c>
      <c r="S14" s="473">
        <f t="shared" si="6"/>
        <v>915523</v>
      </c>
      <c r="T14" s="474">
        <f t="shared" si="6"/>
        <v>39980</v>
      </c>
      <c r="U14" s="538">
        <f t="shared" si="6"/>
        <v>354424</v>
      </c>
      <c r="V14" s="470">
        <f t="shared" si="6"/>
        <v>9763642</v>
      </c>
      <c r="W14" s="473">
        <f t="shared" si="6"/>
        <v>28258331</v>
      </c>
      <c r="X14" s="470">
        <f t="shared" si="6"/>
        <v>6393396</v>
      </c>
      <c r="Y14" s="473">
        <f t="shared" si="6"/>
        <v>13808158</v>
      </c>
      <c r="Z14" s="474">
        <f t="shared" si="6"/>
        <v>5496</v>
      </c>
      <c r="AA14" s="538">
        <f t="shared" si="6"/>
        <v>57632</v>
      </c>
      <c r="AB14" s="470">
        <f t="shared" si="6"/>
        <v>1235845</v>
      </c>
      <c r="AC14" s="473">
        <f t="shared" si="6"/>
        <v>1923524</v>
      </c>
      <c r="AD14" s="470">
        <f t="shared" si="6"/>
        <v>4378830</v>
      </c>
      <c r="AE14" s="473">
        <f t="shared" si="6"/>
        <v>7336907</v>
      </c>
      <c r="AF14" s="472">
        <f t="shared" si="6"/>
        <v>1481694</v>
      </c>
      <c r="AG14" s="538">
        <f t="shared" si="6"/>
        <v>2608395</v>
      </c>
      <c r="AH14" s="470">
        <f t="shared" ref="AH14:AU14" si="7">AH12+AH13</f>
        <v>625410</v>
      </c>
      <c r="AI14" s="473">
        <f t="shared" si="7"/>
        <v>1708569</v>
      </c>
      <c r="AJ14" s="470">
        <f t="shared" si="7"/>
        <v>-55943</v>
      </c>
      <c r="AK14" s="473">
        <f t="shared" si="7"/>
        <v>649031</v>
      </c>
      <c r="AL14" s="470">
        <f t="shared" si="7"/>
        <v>0</v>
      </c>
      <c r="AM14" s="473">
        <f t="shared" si="7"/>
        <v>0</v>
      </c>
      <c r="AN14" s="474">
        <f t="shared" si="7"/>
        <v>3963662</v>
      </c>
      <c r="AO14" s="538">
        <f t="shared" si="7"/>
        <v>2264883</v>
      </c>
      <c r="AP14" s="470">
        <f t="shared" si="7"/>
        <v>1001599</v>
      </c>
      <c r="AQ14" s="473">
        <f t="shared" si="7"/>
        <v>1455715</v>
      </c>
      <c r="AR14" s="474">
        <f t="shared" si="7"/>
        <v>1942719</v>
      </c>
      <c r="AS14" s="538">
        <f t="shared" si="7"/>
        <v>684417</v>
      </c>
      <c r="AT14" s="470">
        <f t="shared" si="7"/>
        <v>268541</v>
      </c>
      <c r="AU14" s="473">
        <f t="shared" si="7"/>
        <v>272533</v>
      </c>
      <c r="AV14" s="474">
        <f t="shared" si="0"/>
        <v>43598176</v>
      </c>
      <c r="AW14" s="823">
        <f t="shared" si="1"/>
        <v>86225275</v>
      </c>
      <c r="AX14" s="478">
        <f>AX12+AX13</f>
        <v>0</v>
      </c>
      <c r="AY14" s="479">
        <f>AY12+AY13</f>
        <v>11259008</v>
      </c>
      <c r="AZ14" s="470">
        <f t="shared" si="2"/>
        <v>43598176</v>
      </c>
      <c r="BA14" s="539">
        <f t="shared" si="3"/>
        <v>97484283</v>
      </c>
    </row>
  </sheetData>
  <mergeCells count="29">
    <mergeCell ref="A1:AZ1"/>
    <mergeCell ref="A2:AZ2"/>
    <mergeCell ref="A3:A4"/>
    <mergeCell ref="Z3:AA3"/>
    <mergeCell ref="AB3:AC3"/>
    <mergeCell ref="D3:E3"/>
    <mergeCell ref="F3:G3"/>
    <mergeCell ref="J3:K3"/>
    <mergeCell ref="H3:I3"/>
    <mergeCell ref="L3:M3"/>
    <mergeCell ref="N3:O3"/>
    <mergeCell ref="P3:Q3"/>
    <mergeCell ref="AZ3:BA3"/>
    <mergeCell ref="AD3:AE3"/>
    <mergeCell ref="AF3:AG3"/>
    <mergeCell ref="AH3:AI3"/>
    <mergeCell ref="AJ3:AK3"/>
    <mergeCell ref="AL3:AM3"/>
    <mergeCell ref="AN3:AO3"/>
    <mergeCell ref="B3:C3"/>
    <mergeCell ref="AP3:AQ3"/>
    <mergeCell ref="AR3:AS3"/>
    <mergeCell ref="AT3:AU3"/>
    <mergeCell ref="AV3:AW3"/>
    <mergeCell ref="AX3:AY3"/>
    <mergeCell ref="R3:S3"/>
    <mergeCell ref="T3:U3"/>
    <mergeCell ref="V3:W3"/>
    <mergeCell ref="X3:Y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BF19"/>
  <sheetViews>
    <sheetView workbookViewId="0">
      <pane xSplit="1" topLeftCell="AX1" activePane="topRight" state="frozen"/>
      <selection pane="topRight" activeCell="R18" sqref="R18"/>
    </sheetView>
  </sheetViews>
  <sheetFormatPr defaultRowHeight="16.5" x14ac:dyDescent="0.3"/>
  <cols>
    <col min="1" max="1" width="18.140625" style="43" customWidth="1"/>
    <col min="2" max="2" width="12.85546875" style="43" bestFit="1" customWidth="1"/>
    <col min="3" max="3" width="12.7109375" style="43" bestFit="1" customWidth="1"/>
    <col min="4" max="4" width="12.85546875" style="43" bestFit="1" customWidth="1"/>
    <col min="5" max="5" width="12.7109375" style="43" bestFit="1" customWidth="1"/>
    <col min="6" max="6" width="12.85546875" style="43" bestFit="1" customWidth="1"/>
    <col min="7" max="7" width="12.7109375" style="43" bestFit="1" customWidth="1"/>
    <col min="8" max="8" width="12.85546875" style="43" bestFit="1" customWidth="1"/>
    <col min="9" max="9" width="12.7109375" style="43" bestFit="1" customWidth="1"/>
    <col min="10" max="10" width="12.85546875" style="43" bestFit="1" customWidth="1"/>
    <col min="11" max="11" width="12.7109375" style="43" bestFit="1" customWidth="1"/>
    <col min="12" max="12" width="12.85546875" style="43" bestFit="1" customWidth="1"/>
    <col min="13" max="13" width="12.7109375" style="43" bestFit="1" customWidth="1"/>
    <col min="14" max="14" width="12.85546875" style="43" bestFit="1" customWidth="1"/>
    <col min="15" max="15" width="12.7109375" style="43" bestFit="1" customWidth="1"/>
    <col min="16" max="16" width="12.85546875" style="43" bestFit="1" customWidth="1"/>
    <col min="17" max="17" width="12.7109375" style="43" bestFit="1" customWidth="1"/>
    <col min="18" max="18" width="12.85546875" style="43" bestFit="1" customWidth="1"/>
    <col min="19" max="19" width="12.7109375" style="43" bestFit="1" customWidth="1"/>
    <col min="20" max="20" width="12.85546875" style="43" bestFit="1" customWidth="1"/>
    <col min="21" max="21" width="12.7109375" style="43" bestFit="1" customWidth="1"/>
    <col min="22" max="22" width="12.85546875" style="43" bestFit="1" customWidth="1"/>
    <col min="23" max="23" width="12.7109375" style="43" bestFit="1" customWidth="1"/>
    <col min="24" max="24" width="12.85546875" style="43" bestFit="1" customWidth="1"/>
    <col min="25" max="25" width="12.7109375" style="43" bestFit="1" customWidth="1"/>
    <col min="26" max="26" width="12.85546875" style="43" bestFit="1" customWidth="1"/>
    <col min="27" max="27" width="12.7109375" style="43" bestFit="1" customWidth="1"/>
    <col min="28" max="28" width="12.85546875" style="43" bestFit="1" customWidth="1"/>
    <col min="29" max="29" width="12.7109375" style="43" bestFit="1" customWidth="1"/>
    <col min="30" max="30" width="12.85546875" style="43" bestFit="1" customWidth="1"/>
    <col min="31" max="31" width="12.7109375" style="43" bestFit="1" customWidth="1"/>
    <col min="32" max="32" width="12.85546875" style="43" bestFit="1" customWidth="1"/>
    <col min="33" max="33" width="12.7109375" style="43" bestFit="1" customWidth="1"/>
    <col min="34" max="34" width="12.85546875" style="43" bestFit="1" customWidth="1"/>
    <col min="35" max="35" width="12.7109375" style="43" bestFit="1" customWidth="1"/>
    <col min="36" max="36" width="12.85546875" style="43" bestFit="1" customWidth="1"/>
    <col min="37" max="37" width="12.7109375" style="43" bestFit="1" customWidth="1"/>
    <col min="38" max="38" width="12.85546875" style="43" bestFit="1" customWidth="1"/>
    <col min="39" max="39" width="12.7109375" style="43" bestFit="1" customWidth="1"/>
    <col min="40" max="40" width="12.85546875" style="43" bestFit="1" customWidth="1"/>
    <col min="41" max="41" width="12.7109375" style="43" bestFit="1" customWidth="1"/>
    <col min="42" max="42" width="12.85546875" style="43" bestFit="1" customWidth="1"/>
    <col min="43" max="43" width="12.7109375" style="43" bestFit="1" customWidth="1"/>
    <col min="44" max="44" width="12.85546875" style="43" bestFit="1" customWidth="1"/>
    <col min="45" max="45" width="12.7109375" style="43" bestFit="1" customWidth="1"/>
    <col min="46" max="46" width="12.85546875" style="43" bestFit="1" customWidth="1"/>
    <col min="47" max="47" width="12.7109375" style="43" bestFit="1" customWidth="1"/>
    <col min="48" max="48" width="12.85546875" style="43" bestFit="1" customWidth="1"/>
    <col min="49" max="49" width="12.7109375" style="43" bestFit="1" customWidth="1"/>
    <col min="50" max="50" width="12.85546875" style="43" bestFit="1" customWidth="1"/>
    <col min="51" max="51" width="12.7109375" style="43" bestFit="1" customWidth="1"/>
    <col min="52" max="52" width="12.85546875" style="43" bestFit="1" customWidth="1"/>
    <col min="53" max="53" width="12.7109375" style="43" bestFit="1" customWidth="1"/>
    <col min="54" max="58" width="9.140625" style="598"/>
    <col min="59" max="16384" width="9.140625" style="43"/>
  </cols>
  <sheetData>
    <row r="1" spans="1:58" ht="17.25" x14ac:dyDescent="0.35">
      <c r="A1" s="1246" t="s">
        <v>254</v>
      </c>
      <c r="B1" s="1246"/>
      <c r="C1" s="1246"/>
      <c r="D1" s="1246"/>
      <c r="E1" s="1246"/>
      <c r="F1" s="1246"/>
      <c r="G1" s="1246"/>
      <c r="H1" s="1246"/>
      <c r="I1" s="1246"/>
      <c r="J1" s="1246"/>
      <c r="K1" s="1246"/>
      <c r="L1" s="1246"/>
      <c r="M1" s="1246"/>
      <c r="N1" s="1246"/>
      <c r="O1" s="1246"/>
      <c r="P1" s="1246"/>
      <c r="Q1" s="1246"/>
      <c r="R1" s="1246"/>
      <c r="S1" s="1246"/>
      <c r="T1" s="1246"/>
      <c r="U1" s="1246"/>
      <c r="V1" s="1246"/>
      <c r="W1" s="1246"/>
      <c r="X1" s="1246"/>
      <c r="Y1" s="1246"/>
      <c r="Z1" s="1246"/>
      <c r="AA1" s="1246"/>
      <c r="AB1" s="1246"/>
      <c r="AC1" s="1246"/>
      <c r="AD1" s="1246"/>
      <c r="AE1" s="1246"/>
      <c r="AF1" s="1246"/>
      <c r="AG1" s="1246"/>
      <c r="AH1" s="1246"/>
      <c r="AI1" s="1246"/>
      <c r="AJ1" s="1246"/>
      <c r="AK1" s="1246"/>
      <c r="AL1" s="1246"/>
      <c r="AM1" s="1246"/>
      <c r="AN1" s="1246"/>
      <c r="AO1" s="1246"/>
      <c r="AP1" s="1246"/>
      <c r="AQ1" s="1246"/>
      <c r="AR1" s="1246"/>
      <c r="AS1" s="1246"/>
      <c r="AT1" s="1246"/>
      <c r="AU1" s="1246"/>
      <c r="AV1" s="1246"/>
      <c r="AW1" s="1246"/>
      <c r="AX1" s="1246"/>
      <c r="AY1" s="1246"/>
      <c r="AZ1" s="1246"/>
    </row>
    <row r="2" spans="1:58" s="426" customFormat="1" ht="18" thickBot="1" x14ac:dyDescent="0.4">
      <c r="A2" s="1324" t="s">
        <v>151</v>
      </c>
      <c r="B2" s="1324"/>
      <c r="C2" s="1324"/>
      <c r="D2" s="1324"/>
      <c r="E2" s="1324"/>
      <c r="F2" s="1324"/>
      <c r="G2" s="1324"/>
      <c r="H2" s="1324"/>
      <c r="I2" s="1324"/>
      <c r="J2" s="1324"/>
      <c r="K2" s="1324"/>
      <c r="L2" s="1324"/>
      <c r="M2" s="1324"/>
      <c r="N2" s="1324"/>
      <c r="O2" s="1324"/>
      <c r="P2" s="1324"/>
      <c r="Q2" s="1324"/>
      <c r="R2" s="1324"/>
      <c r="S2" s="1324"/>
      <c r="T2" s="1324"/>
      <c r="U2" s="1324"/>
      <c r="V2" s="1324"/>
      <c r="W2" s="1324"/>
      <c r="X2" s="1324"/>
      <c r="Y2" s="1324"/>
      <c r="Z2" s="1324"/>
      <c r="AA2" s="1324"/>
      <c r="AB2" s="1324"/>
      <c r="AC2" s="1324"/>
      <c r="AD2" s="1324"/>
      <c r="AE2" s="1324"/>
      <c r="AF2" s="1324"/>
      <c r="AG2" s="1324"/>
      <c r="AH2" s="1324"/>
      <c r="AI2" s="1324"/>
      <c r="AJ2" s="1324"/>
      <c r="AK2" s="1324"/>
      <c r="AL2" s="1324"/>
      <c r="AM2" s="1324"/>
      <c r="AN2" s="1324"/>
      <c r="AO2" s="1324"/>
      <c r="AP2" s="1324"/>
      <c r="AQ2" s="1324"/>
      <c r="AR2" s="1324"/>
      <c r="AS2" s="1324"/>
      <c r="AT2" s="1324"/>
      <c r="AU2" s="1324"/>
      <c r="AV2" s="1324"/>
      <c r="AW2" s="1324"/>
      <c r="AX2" s="1324"/>
      <c r="AY2" s="1324"/>
      <c r="AZ2" s="1324"/>
      <c r="BB2" s="599"/>
      <c r="BC2" s="599"/>
      <c r="BD2" s="599"/>
      <c r="BE2" s="599"/>
      <c r="BF2" s="599"/>
    </row>
    <row r="3" spans="1:58" s="426" customFormat="1" ht="60.6" customHeight="1" thickBot="1" x14ac:dyDescent="0.35">
      <c r="A3" s="1325" t="s">
        <v>14</v>
      </c>
      <c r="B3" s="1329" t="s">
        <v>153</v>
      </c>
      <c r="C3" s="1330"/>
      <c r="D3" s="1331" t="s">
        <v>154</v>
      </c>
      <c r="E3" s="1328"/>
      <c r="F3" s="1331" t="s">
        <v>155</v>
      </c>
      <c r="G3" s="1328"/>
      <c r="H3" s="1331" t="s">
        <v>156</v>
      </c>
      <c r="I3" s="1328"/>
      <c r="J3" s="1331" t="s">
        <v>157</v>
      </c>
      <c r="K3" s="1328"/>
      <c r="L3" s="1331" t="s">
        <v>158</v>
      </c>
      <c r="M3" s="1328"/>
      <c r="N3" s="1327" t="s">
        <v>291</v>
      </c>
      <c r="O3" s="1328"/>
      <c r="P3" s="1331" t="s">
        <v>159</v>
      </c>
      <c r="Q3" s="1328"/>
      <c r="R3" s="1331" t="s">
        <v>160</v>
      </c>
      <c r="S3" s="1328"/>
      <c r="T3" s="1331" t="s">
        <v>161</v>
      </c>
      <c r="U3" s="1328"/>
      <c r="V3" s="1331" t="s">
        <v>162</v>
      </c>
      <c r="W3" s="1328"/>
      <c r="X3" s="1327" t="s">
        <v>163</v>
      </c>
      <c r="Y3" s="1331"/>
      <c r="Z3" s="1327" t="s">
        <v>164</v>
      </c>
      <c r="AA3" s="1331"/>
      <c r="AB3" s="1327" t="s">
        <v>165</v>
      </c>
      <c r="AC3" s="1331"/>
      <c r="AD3" s="1332" t="s">
        <v>166</v>
      </c>
      <c r="AE3" s="1333"/>
      <c r="AF3" s="1327" t="s">
        <v>167</v>
      </c>
      <c r="AG3" s="1328"/>
      <c r="AH3" s="1327" t="s">
        <v>168</v>
      </c>
      <c r="AI3" s="1328"/>
      <c r="AJ3" s="1331" t="s">
        <v>169</v>
      </c>
      <c r="AK3" s="1331"/>
      <c r="AL3" s="1332" t="s">
        <v>170</v>
      </c>
      <c r="AM3" s="1334"/>
      <c r="AN3" s="1327" t="s">
        <v>171</v>
      </c>
      <c r="AO3" s="1331"/>
      <c r="AP3" s="1327" t="s">
        <v>172</v>
      </c>
      <c r="AQ3" s="1331"/>
      <c r="AR3" s="1327" t="s">
        <v>173</v>
      </c>
      <c r="AS3" s="1331"/>
      <c r="AT3" s="1327" t="s">
        <v>174</v>
      </c>
      <c r="AU3" s="1331"/>
      <c r="AV3" s="1327" t="s">
        <v>1</v>
      </c>
      <c r="AW3" s="1331"/>
      <c r="AX3" s="1332" t="s">
        <v>175</v>
      </c>
      <c r="AY3" s="1334"/>
      <c r="AZ3" s="1332" t="s">
        <v>2</v>
      </c>
      <c r="BA3" s="1333"/>
      <c r="BB3" s="599"/>
      <c r="BC3" s="599"/>
      <c r="BD3" s="599"/>
      <c r="BE3" s="599"/>
      <c r="BF3" s="599"/>
    </row>
    <row r="4" spans="1:58" s="292" customFormat="1" ht="17.25" thickBot="1" x14ac:dyDescent="0.35">
      <c r="A4" s="1326"/>
      <c r="B4" s="362" t="s">
        <v>290</v>
      </c>
      <c r="C4" s="362" t="s">
        <v>279</v>
      </c>
      <c r="D4" s="362" t="s">
        <v>290</v>
      </c>
      <c r="E4" s="362" t="s">
        <v>279</v>
      </c>
      <c r="F4" s="362" t="s">
        <v>290</v>
      </c>
      <c r="G4" s="362" t="s">
        <v>279</v>
      </c>
      <c r="H4" s="362" t="s">
        <v>290</v>
      </c>
      <c r="I4" s="362" t="s">
        <v>279</v>
      </c>
      <c r="J4" s="362" t="s">
        <v>290</v>
      </c>
      <c r="K4" s="362" t="s">
        <v>279</v>
      </c>
      <c r="L4" s="362" t="s">
        <v>290</v>
      </c>
      <c r="M4" s="362" t="s">
        <v>279</v>
      </c>
      <c r="N4" s="362" t="s">
        <v>290</v>
      </c>
      <c r="O4" s="362" t="s">
        <v>279</v>
      </c>
      <c r="P4" s="362" t="s">
        <v>290</v>
      </c>
      <c r="Q4" s="362" t="s">
        <v>279</v>
      </c>
      <c r="R4" s="362" t="s">
        <v>290</v>
      </c>
      <c r="S4" s="362" t="s">
        <v>279</v>
      </c>
      <c r="T4" s="362" t="s">
        <v>290</v>
      </c>
      <c r="U4" s="362" t="s">
        <v>279</v>
      </c>
      <c r="V4" s="362" t="s">
        <v>290</v>
      </c>
      <c r="W4" s="362" t="s">
        <v>279</v>
      </c>
      <c r="X4" s="362" t="s">
        <v>290</v>
      </c>
      <c r="Y4" s="362" t="s">
        <v>279</v>
      </c>
      <c r="Z4" s="362" t="s">
        <v>290</v>
      </c>
      <c r="AA4" s="362" t="s">
        <v>279</v>
      </c>
      <c r="AB4" s="362" t="s">
        <v>290</v>
      </c>
      <c r="AC4" s="362" t="s">
        <v>279</v>
      </c>
      <c r="AD4" s="362" t="s">
        <v>290</v>
      </c>
      <c r="AE4" s="362" t="s">
        <v>279</v>
      </c>
      <c r="AF4" s="362" t="s">
        <v>290</v>
      </c>
      <c r="AG4" s="362" t="s">
        <v>279</v>
      </c>
      <c r="AH4" s="362" t="s">
        <v>290</v>
      </c>
      <c r="AI4" s="362" t="s">
        <v>279</v>
      </c>
      <c r="AJ4" s="362" t="s">
        <v>290</v>
      </c>
      <c r="AK4" s="362" t="s">
        <v>279</v>
      </c>
      <c r="AL4" s="362" t="s">
        <v>290</v>
      </c>
      <c r="AM4" s="362" t="s">
        <v>279</v>
      </c>
      <c r="AN4" s="362" t="s">
        <v>290</v>
      </c>
      <c r="AO4" s="362" t="s">
        <v>279</v>
      </c>
      <c r="AP4" s="362" t="s">
        <v>290</v>
      </c>
      <c r="AQ4" s="362" t="s">
        <v>279</v>
      </c>
      <c r="AR4" s="362" t="s">
        <v>290</v>
      </c>
      <c r="AS4" s="362" t="s">
        <v>279</v>
      </c>
      <c r="AT4" s="362" t="s">
        <v>290</v>
      </c>
      <c r="AU4" s="362" t="s">
        <v>279</v>
      </c>
      <c r="AV4" s="362" t="s">
        <v>290</v>
      </c>
      <c r="AW4" s="362" t="s">
        <v>279</v>
      </c>
      <c r="AX4" s="362" t="s">
        <v>290</v>
      </c>
      <c r="AY4" s="362" t="s">
        <v>279</v>
      </c>
      <c r="AZ4" s="362" t="s">
        <v>290</v>
      </c>
      <c r="BA4" s="362" t="s">
        <v>279</v>
      </c>
      <c r="BB4" s="353"/>
      <c r="BC4" s="353"/>
      <c r="BD4" s="353"/>
      <c r="BE4" s="353"/>
      <c r="BF4" s="600"/>
    </row>
    <row r="5" spans="1:58" ht="17.25" x14ac:dyDescent="0.35">
      <c r="A5" s="186" t="s">
        <v>3</v>
      </c>
      <c r="B5" s="835">
        <v>316</v>
      </c>
      <c r="C5" s="836">
        <v>346</v>
      </c>
      <c r="D5" s="263">
        <v>0.08</v>
      </c>
      <c r="E5" s="262">
        <v>0.01</v>
      </c>
      <c r="F5" s="263"/>
      <c r="G5" s="262">
        <v>19.22</v>
      </c>
      <c r="H5" s="263">
        <v>364</v>
      </c>
      <c r="I5" s="262">
        <v>473</v>
      </c>
      <c r="J5" s="263">
        <v>116.7</v>
      </c>
      <c r="K5" s="262">
        <v>92</v>
      </c>
      <c r="L5" s="263">
        <v>1.17</v>
      </c>
      <c r="M5" s="262">
        <v>0.06</v>
      </c>
      <c r="N5" s="259">
        <v>23.79</v>
      </c>
      <c r="O5" s="262">
        <v>31.73</v>
      </c>
      <c r="P5" s="841">
        <v>73.290000000000006</v>
      </c>
      <c r="Q5" s="34">
        <v>74.34</v>
      </c>
      <c r="R5" s="33">
        <v>157.26</v>
      </c>
      <c r="S5" s="34">
        <v>187.05</v>
      </c>
      <c r="T5" s="33">
        <v>10.91</v>
      </c>
      <c r="U5" s="34">
        <v>17.16</v>
      </c>
      <c r="V5" s="33">
        <v>487.55</v>
      </c>
      <c r="W5" s="34">
        <v>528.34</v>
      </c>
      <c r="X5" s="25">
        <v>662</v>
      </c>
      <c r="Y5" s="451">
        <v>756.8</v>
      </c>
      <c r="Z5" s="454">
        <v>12.61</v>
      </c>
      <c r="AA5" s="847">
        <v>12.22</v>
      </c>
      <c r="AB5" s="259">
        <v>7.35</v>
      </c>
      <c r="AC5" s="261">
        <v>11.14</v>
      </c>
      <c r="AD5" s="259">
        <v>207.03</v>
      </c>
      <c r="AE5" s="262">
        <v>318.97000000000003</v>
      </c>
      <c r="AF5" s="259">
        <v>698.11</v>
      </c>
      <c r="AG5" s="262">
        <v>533.42999999999995</v>
      </c>
      <c r="AH5" s="259">
        <v>26.01</v>
      </c>
      <c r="AI5" s="262">
        <v>25.59</v>
      </c>
      <c r="AJ5" s="260">
        <v>150.38999999999999</v>
      </c>
      <c r="AK5" s="261">
        <v>236.62</v>
      </c>
      <c r="AL5" s="259"/>
      <c r="AM5" s="261"/>
      <c r="AN5" s="613">
        <v>1171</v>
      </c>
      <c r="AO5" s="855">
        <v>1355</v>
      </c>
      <c r="AP5" s="264">
        <v>10.29</v>
      </c>
      <c r="AQ5" s="609">
        <v>15.21</v>
      </c>
      <c r="AR5" s="265">
        <v>-2.3800000000000002E-2</v>
      </c>
      <c r="AS5" s="848">
        <v>0.11</v>
      </c>
      <c r="AT5" s="259">
        <v>380.89</v>
      </c>
      <c r="AU5" s="261">
        <v>335.86</v>
      </c>
      <c r="AV5" s="266">
        <f t="shared" ref="AV5:AV18" si="0">SUM(B5+D5+F5+H5+J5+L5+N5+P5+R5+T5+V5+X5+Z5+AB5+AD5+AF5+AH5+AJ5+AL5+AN5+AP5+AR5+AT5)</f>
        <v>4876.4062000000004</v>
      </c>
      <c r="AW5" s="851">
        <f t="shared" ref="AW5:AW18" si="1">SUM(C5+E5+G5+I5+K5+M5+O5+Q5+S5+U5+W5+Y5+AA5+AC5+AE5+AG5+AI5+AK5+AM5+AO5+AQ5+AS5+AU5)</f>
        <v>5369.86</v>
      </c>
      <c r="AX5" s="265"/>
      <c r="AY5" s="848">
        <v>23505.33</v>
      </c>
      <c r="AZ5" s="266">
        <f t="shared" ref="AZ5:AZ18" si="2">AV5+AX5</f>
        <v>4876.4062000000004</v>
      </c>
      <c r="BA5" s="267">
        <f t="shared" ref="BA5:BA18" si="3">AW5+AY5</f>
        <v>28875.190000000002</v>
      </c>
    </row>
    <row r="6" spans="1:58" ht="17.25" x14ac:dyDescent="0.35">
      <c r="A6" s="68" t="s">
        <v>4</v>
      </c>
      <c r="B6" s="239">
        <v>440</v>
      </c>
      <c r="C6" s="836">
        <v>352</v>
      </c>
      <c r="D6" s="49"/>
      <c r="E6" s="262">
        <v>0.1</v>
      </c>
      <c r="F6" s="49"/>
      <c r="G6" s="262">
        <v>5.43</v>
      </c>
      <c r="H6" s="49">
        <v>231</v>
      </c>
      <c r="I6" s="262">
        <v>83</v>
      </c>
      <c r="J6" s="49">
        <v>12.08</v>
      </c>
      <c r="K6" s="262">
        <v>10</v>
      </c>
      <c r="L6" s="263">
        <v>487.78</v>
      </c>
      <c r="M6" s="262">
        <v>461.87</v>
      </c>
      <c r="N6" s="44">
        <v>1.07</v>
      </c>
      <c r="O6" s="262">
        <v>4.32</v>
      </c>
      <c r="P6" s="842">
        <v>21.19</v>
      </c>
      <c r="Q6" s="34">
        <v>13.79</v>
      </c>
      <c r="R6" s="13">
        <v>9.09</v>
      </c>
      <c r="S6" s="34">
        <v>19.7</v>
      </c>
      <c r="T6" s="13">
        <v>20.329999999999998</v>
      </c>
      <c r="U6" s="34">
        <v>35.17</v>
      </c>
      <c r="V6" s="13">
        <v>1863.49</v>
      </c>
      <c r="W6" s="34">
        <v>1644.67</v>
      </c>
      <c r="X6" s="2">
        <v>1206</v>
      </c>
      <c r="Y6" s="451">
        <v>1854.7</v>
      </c>
      <c r="Z6" s="170">
        <v>167.47</v>
      </c>
      <c r="AA6" s="847">
        <v>186.67</v>
      </c>
      <c r="AB6" s="44">
        <v>255.34</v>
      </c>
      <c r="AC6" s="261">
        <v>296.05</v>
      </c>
      <c r="AD6" s="44">
        <v>497.74</v>
      </c>
      <c r="AE6" s="262">
        <v>388.95</v>
      </c>
      <c r="AF6" s="44">
        <v>1383.78</v>
      </c>
      <c r="AG6" s="262">
        <v>1231.9000000000001</v>
      </c>
      <c r="AH6" s="44">
        <v>336.25</v>
      </c>
      <c r="AI6" s="262">
        <v>376.12</v>
      </c>
      <c r="AJ6" s="45">
        <v>4.26</v>
      </c>
      <c r="AK6" s="261">
        <v>8.09</v>
      </c>
      <c r="AL6" s="44"/>
      <c r="AM6" s="261"/>
      <c r="AN6" s="585">
        <v>2773</v>
      </c>
      <c r="AO6" s="855">
        <v>3353</v>
      </c>
      <c r="AP6" s="50">
        <v>1.28</v>
      </c>
      <c r="AQ6" s="609">
        <v>1.06</v>
      </c>
      <c r="AR6" s="52">
        <v>271.25</v>
      </c>
      <c r="AS6" s="848">
        <v>261.85000000000002</v>
      </c>
      <c r="AT6" s="44">
        <v>967.22</v>
      </c>
      <c r="AU6" s="261">
        <v>758.5</v>
      </c>
      <c r="AV6" s="266">
        <f t="shared" si="0"/>
        <v>10949.619999999999</v>
      </c>
      <c r="AW6" s="851">
        <f t="shared" si="1"/>
        <v>11346.939999999999</v>
      </c>
      <c r="AX6" s="52"/>
      <c r="AY6" s="848">
        <v>676.95</v>
      </c>
      <c r="AZ6" s="53">
        <f t="shared" si="2"/>
        <v>10949.619999999999</v>
      </c>
      <c r="BA6" s="187">
        <f t="shared" si="3"/>
        <v>12023.89</v>
      </c>
    </row>
    <row r="7" spans="1:58" ht="17.25" x14ac:dyDescent="0.35">
      <c r="A7" s="68" t="s">
        <v>5</v>
      </c>
      <c r="B7" s="239">
        <v>4</v>
      </c>
      <c r="C7" s="836">
        <v>1</v>
      </c>
      <c r="D7" s="49">
        <v>2.54</v>
      </c>
      <c r="E7" s="262">
        <v>1.71</v>
      </c>
      <c r="F7" s="49"/>
      <c r="G7" s="262">
        <v>8.64</v>
      </c>
      <c r="H7" s="49">
        <v>35</v>
      </c>
      <c r="I7" s="262">
        <v>30</v>
      </c>
      <c r="J7" s="49">
        <v>38.619999999999997</v>
      </c>
      <c r="K7" s="262">
        <v>20</v>
      </c>
      <c r="L7" s="49">
        <v>0.14000000000000001</v>
      </c>
      <c r="M7" s="47">
        <v>0.49</v>
      </c>
      <c r="N7" s="44">
        <v>1.26</v>
      </c>
      <c r="O7" s="262">
        <v>2.31</v>
      </c>
      <c r="P7" s="842">
        <v>9.3699999999999992</v>
      </c>
      <c r="Q7" s="34">
        <v>15.04</v>
      </c>
      <c r="R7" s="13">
        <v>2.8</v>
      </c>
      <c r="S7" s="34">
        <v>13.38</v>
      </c>
      <c r="T7" s="13">
        <v>4.34</v>
      </c>
      <c r="U7" s="34">
        <v>11.8</v>
      </c>
      <c r="V7" s="13">
        <v>132.6</v>
      </c>
      <c r="W7" s="34">
        <v>163.21</v>
      </c>
      <c r="X7" s="2">
        <v>98</v>
      </c>
      <c r="Y7" s="451">
        <v>108</v>
      </c>
      <c r="Z7" s="170"/>
      <c r="AA7" s="847"/>
      <c r="AB7" s="44">
        <v>10.63</v>
      </c>
      <c r="AC7" s="261">
        <v>14.23</v>
      </c>
      <c r="AD7" s="44">
        <v>4.54</v>
      </c>
      <c r="AE7" s="262">
        <v>1.37</v>
      </c>
      <c r="AF7" s="44">
        <v>38.35</v>
      </c>
      <c r="AG7" s="262">
        <v>36.700000000000003</v>
      </c>
      <c r="AH7" s="44">
        <v>4.42</v>
      </c>
      <c r="AI7" s="262">
        <v>0.27</v>
      </c>
      <c r="AJ7" s="45">
        <v>12.37</v>
      </c>
      <c r="AK7" s="261">
        <v>28.46</v>
      </c>
      <c r="AL7" s="44"/>
      <c r="AM7" s="261"/>
      <c r="AN7" s="586">
        <v>106</v>
      </c>
      <c r="AO7" s="855">
        <v>60</v>
      </c>
      <c r="AP7" s="50">
        <v>86.76</v>
      </c>
      <c r="AQ7" s="609">
        <v>99.2</v>
      </c>
      <c r="AR7" s="52"/>
      <c r="AS7" s="848"/>
      <c r="AT7" s="44">
        <v>27.33</v>
      </c>
      <c r="AU7" s="261">
        <v>12.71</v>
      </c>
      <c r="AV7" s="266">
        <f t="shared" si="0"/>
        <v>619.07000000000016</v>
      </c>
      <c r="AW7" s="851">
        <f t="shared" si="1"/>
        <v>628.52</v>
      </c>
      <c r="AX7" s="52"/>
      <c r="AY7" s="848">
        <v>18.72</v>
      </c>
      <c r="AZ7" s="53">
        <f t="shared" si="2"/>
        <v>619.07000000000016</v>
      </c>
      <c r="BA7" s="187">
        <f t="shared" si="3"/>
        <v>647.24</v>
      </c>
    </row>
    <row r="8" spans="1:58" ht="17.25" x14ac:dyDescent="0.35">
      <c r="A8" s="68" t="s">
        <v>6</v>
      </c>
      <c r="B8" s="239">
        <v>5</v>
      </c>
      <c r="C8" s="836">
        <v>19</v>
      </c>
      <c r="D8" s="49">
        <v>2.38</v>
      </c>
      <c r="E8" s="262">
        <v>0.79</v>
      </c>
      <c r="F8" s="49"/>
      <c r="G8" s="262">
        <v>1.96</v>
      </c>
      <c r="H8" s="49">
        <v>30</v>
      </c>
      <c r="I8" s="262">
        <v>31</v>
      </c>
      <c r="J8" s="49">
        <v>59.15</v>
      </c>
      <c r="K8" s="262">
        <v>141</v>
      </c>
      <c r="L8" s="49">
        <v>1.68</v>
      </c>
      <c r="M8" s="47"/>
      <c r="N8" s="44">
        <v>-0.02</v>
      </c>
      <c r="O8" s="262">
        <v>-0.15</v>
      </c>
      <c r="P8" s="842">
        <v>11.07</v>
      </c>
      <c r="Q8" s="34">
        <v>5.51</v>
      </c>
      <c r="R8" s="13">
        <v>39.17</v>
      </c>
      <c r="S8" s="34">
        <v>98.28</v>
      </c>
      <c r="T8" s="13">
        <v>2.89</v>
      </c>
      <c r="U8" s="34">
        <v>5.96</v>
      </c>
      <c r="V8" s="13">
        <v>180.99</v>
      </c>
      <c r="W8" s="34">
        <v>256.18</v>
      </c>
      <c r="X8" s="2">
        <v>96</v>
      </c>
      <c r="Y8" s="451">
        <v>95.8</v>
      </c>
      <c r="Z8" s="170">
        <v>6.18</v>
      </c>
      <c r="AA8" s="847">
        <v>-2.5999999999999999E-3</v>
      </c>
      <c r="AB8" s="44">
        <v>1.82</v>
      </c>
      <c r="AC8" s="261">
        <v>5.92</v>
      </c>
      <c r="AD8" s="44">
        <v>19.05</v>
      </c>
      <c r="AE8" s="262">
        <v>30.5</v>
      </c>
      <c r="AF8" s="44">
        <v>5.07</v>
      </c>
      <c r="AG8" s="262">
        <v>1.58</v>
      </c>
      <c r="AH8" s="44">
        <v>18.2</v>
      </c>
      <c r="AI8" s="262">
        <v>6.38</v>
      </c>
      <c r="AJ8" s="45">
        <v>12.36</v>
      </c>
      <c r="AK8" s="261">
        <v>26.28</v>
      </c>
      <c r="AL8" s="44"/>
      <c r="AM8" s="261"/>
      <c r="AN8" s="586">
        <v>1</v>
      </c>
      <c r="AO8" s="855"/>
      <c r="AP8" s="50">
        <v>21.33</v>
      </c>
      <c r="AQ8" s="609">
        <v>8.06</v>
      </c>
      <c r="AR8" s="52">
        <v>-3.0000000000000001E-3</v>
      </c>
      <c r="AS8" s="848">
        <v>-6.9999999999999999E-4</v>
      </c>
      <c r="AT8" s="44">
        <v>88.21</v>
      </c>
      <c r="AU8" s="261">
        <v>59</v>
      </c>
      <c r="AV8" s="266">
        <f t="shared" si="0"/>
        <v>601.52700000000004</v>
      </c>
      <c r="AW8" s="851">
        <f t="shared" si="1"/>
        <v>793.04669999999976</v>
      </c>
      <c r="AX8" s="52"/>
      <c r="AY8" s="848">
        <v>16.27</v>
      </c>
      <c r="AZ8" s="53">
        <f t="shared" si="2"/>
        <v>601.52700000000004</v>
      </c>
      <c r="BA8" s="187">
        <f t="shared" si="3"/>
        <v>809.31669999999974</v>
      </c>
    </row>
    <row r="9" spans="1:58" ht="17.25" x14ac:dyDescent="0.35">
      <c r="A9" s="68" t="s">
        <v>7</v>
      </c>
      <c r="B9" s="54"/>
      <c r="C9" s="836"/>
      <c r="D9" s="51"/>
      <c r="E9" s="262"/>
      <c r="F9" s="51"/>
      <c r="G9" s="262"/>
      <c r="H9" s="51"/>
      <c r="I9" s="262"/>
      <c r="J9" s="51"/>
      <c r="K9" s="262"/>
      <c r="L9" s="49"/>
      <c r="M9" s="47"/>
      <c r="N9" s="53"/>
      <c r="O9" s="262"/>
      <c r="P9" s="842"/>
      <c r="Q9" s="34">
        <v>0.01</v>
      </c>
      <c r="R9" s="21"/>
      <c r="S9" s="34"/>
      <c r="T9" s="21"/>
      <c r="U9" s="34"/>
      <c r="V9" s="21"/>
      <c r="W9" s="34"/>
      <c r="X9" s="5"/>
      <c r="Y9" s="451"/>
      <c r="Z9" s="170"/>
      <c r="AA9" s="847"/>
      <c r="AB9" s="53"/>
      <c r="AC9" s="261"/>
      <c r="AD9" s="455">
        <v>0.03</v>
      </c>
      <c r="AE9" s="262">
        <v>0.03</v>
      </c>
      <c r="AF9" s="53"/>
      <c r="AG9" s="262"/>
      <c r="AH9" s="53"/>
      <c r="AI9" s="262"/>
      <c r="AJ9" s="55"/>
      <c r="AK9" s="261"/>
      <c r="AL9" s="44"/>
      <c r="AM9" s="261"/>
      <c r="AN9" s="587"/>
      <c r="AO9" s="855"/>
      <c r="AP9" s="50"/>
      <c r="AQ9" s="609"/>
      <c r="AR9" s="52"/>
      <c r="AS9" s="848"/>
      <c r="AT9" s="53">
        <v>0.37</v>
      </c>
      <c r="AU9" s="261">
        <v>0.44</v>
      </c>
      <c r="AV9" s="266">
        <f t="shared" si="0"/>
        <v>0.4</v>
      </c>
      <c r="AW9" s="851">
        <f t="shared" si="1"/>
        <v>0.48</v>
      </c>
      <c r="AX9" s="53"/>
      <c r="AY9" s="848">
        <v>47.63</v>
      </c>
      <c r="AZ9" s="53">
        <f t="shared" si="2"/>
        <v>0.4</v>
      </c>
      <c r="BA9" s="187">
        <f t="shared" si="3"/>
        <v>48.11</v>
      </c>
    </row>
    <row r="10" spans="1:58" ht="17.25" x14ac:dyDescent="0.35">
      <c r="A10" s="68" t="s">
        <v>15</v>
      </c>
      <c r="B10" s="239"/>
      <c r="C10" s="836"/>
      <c r="D10" s="49"/>
      <c r="E10" s="262"/>
      <c r="F10" s="49"/>
      <c r="G10" s="262"/>
      <c r="H10" s="49"/>
      <c r="I10" s="262"/>
      <c r="J10" s="49"/>
      <c r="K10" s="262"/>
      <c r="L10" s="49"/>
      <c r="M10" s="47"/>
      <c r="N10" s="44"/>
      <c r="O10" s="262"/>
      <c r="P10" s="842"/>
      <c r="Q10" s="34"/>
      <c r="R10" s="13"/>
      <c r="S10" s="34"/>
      <c r="T10" s="13"/>
      <c r="U10" s="34"/>
      <c r="V10" s="13"/>
      <c r="W10" s="34"/>
      <c r="X10" s="2"/>
      <c r="Y10" s="451"/>
      <c r="Z10" s="1"/>
      <c r="AA10" s="847"/>
      <c r="AB10" s="44">
        <v>2.11</v>
      </c>
      <c r="AC10" s="261">
        <v>0.97</v>
      </c>
      <c r="AD10" s="44"/>
      <c r="AE10" s="262"/>
      <c r="AF10" s="44"/>
      <c r="AG10" s="262"/>
      <c r="AH10" s="44"/>
      <c r="AI10" s="262"/>
      <c r="AJ10" s="45"/>
      <c r="AK10" s="261"/>
      <c r="AL10" s="44"/>
      <c r="AM10" s="261"/>
      <c r="AN10" s="586"/>
      <c r="AO10" s="855"/>
      <c r="AP10" s="50"/>
      <c r="AQ10" s="609"/>
      <c r="AR10" s="52"/>
      <c r="AS10" s="848"/>
      <c r="AT10" s="44"/>
      <c r="AU10" s="261"/>
      <c r="AV10" s="266">
        <f t="shared" si="0"/>
        <v>2.11</v>
      </c>
      <c r="AW10" s="851">
        <f t="shared" si="1"/>
        <v>0.97</v>
      </c>
      <c r="AX10" s="52"/>
      <c r="AY10" s="848"/>
      <c r="AZ10" s="53">
        <f t="shared" si="2"/>
        <v>2.11</v>
      </c>
      <c r="BA10" s="187">
        <f t="shared" si="3"/>
        <v>0.97</v>
      </c>
    </row>
    <row r="11" spans="1:58" ht="17.25" x14ac:dyDescent="0.35">
      <c r="A11" s="68" t="s">
        <v>8</v>
      </c>
      <c r="B11" s="239">
        <v>27</v>
      </c>
      <c r="C11" s="836">
        <v>27</v>
      </c>
      <c r="D11" s="49">
        <v>16.75</v>
      </c>
      <c r="E11" s="262">
        <v>34.46</v>
      </c>
      <c r="F11" s="49"/>
      <c r="G11" s="262">
        <v>16.22</v>
      </c>
      <c r="H11" s="49">
        <v>101</v>
      </c>
      <c r="I11" s="262">
        <v>83</v>
      </c>
      <c r="J11" s="49">
        <v>42.16</v>
      </c>
      <c r="K11" s="262">
        <v>31</v>
      </c>
      <c r="L11" s="49">
        <v>13.4</v>
      </c>
      <c r="M11" s="47">
        <v>5.97</v>
      </c>
      <c r="N11" s="44">
        <v>31.82</v>
      </c>
      <c r="O11" s="262">
        <v>48.5</v>
      </c>
      <c r="P11" s="842">
        <v>35.65</v>
      </c>
      <c r="Q11" s="34">
        <v>27.24</v>
      </c>
      <c r="R11" s="13">
        <v>21.21</v>
      </c>
      <c r="S11" s="34">
        <v>20.67</v>
      </c>
      <c r="T11" s="13">
        <v>77.81</v>
      </c>
      <c r="U11" s="34">
        <v>79.23</v>
      </c>
      <c r="V11" s="13">
        <v>1502.61</v>
      </c>
      <c r="W11" s="34">
        <v>1259.77</v>
      </c>
      <c r="X11" s="2">
        <v>490</v>
      </c>
      <c r="Y11" s="451">
        <v>713.3</v>
      </c>
      <c r="Z11" s="1">
        <v>7.49</v>
      </c>
      <c r="AA11" s="847">
        <v>0.57999999999999996</v>
      </c>
      <c r="AB11" s="44">
        <v>10.51</v>
      </c>
      <c r="AC11" s="261">
        <v>6.57</v>
      </c>
      <c r="AD11" s="44">
        <v>219.12</v>
      </c>
      <c r="AE11" s="262">
        <v>76.73</v>
      </c>
      <c r="AF11" s="44">
        <v>211.86</v>
      </c>
      <c r="AG11" s="262">
        <v>304.7</v>
      </c>
      <c r="AH11" s="44">
        <v>144.49</v>
      </c>
      <c r="AI11" s="262">
        <v>165.67</v>
      </c>
      <c r="AJ11" s="45">
        <v>190.84</v>
      </c>
      <c r="AK11" s="261">
        <v>132.34</v>
      </c>
      <c r="AL11" s="44"/>
      <c r="AM11" s="261"/>
      <c r="AN11" s="586">
        <v>156</v>
      </c>
      <c r="AO11" s="855">
        <v>80</v>
      </c>
      <c r="AP11" s="50">
        <v>81.47</v>
      </c>
      <c r="AQ11" s="609">
        <v>87.51</v>
      </c>
      <c r="AR11" s="52">
        <v>7.8</v>
      </c>
      <c r="AS11" s="848">
        <v>3.13</v>
      </c>
      <c r="AT11" s="44">
        <v>59.31</v>
      </c>
      <c r="AU11" s="261">
        <v>49.14</v>
      </c>
      <c r="AV11" s="266">
        <f t="shared" si="0"/>
        <v>3448.3</v>
      </c>
      <c r="AW11" s="851">
        <f t="shared" si="1"/>
        <v>3252.73</v>
      </c>
      <c r="AX11" s="52"/>
      <c r="AY11" s="848">
        <v>598.79999999999995</v>
      </c>
      <c r="AZ11" s="53">
        <f t="shared" si="2"/>
        <v>3448.3</v>
      </c>
      <c r="BA11" s="187">
        <f t="shared" si="3"/>
        <v>3851.5299999999997</v>
      </c>
    </row>
    <row r="12" spans="1:58" ht="17.25" x14ac:dyDescent="0.35">
      <c r="A12" s="68" t="s">
        <v>16</v>
      </c>
      <c r="B12" s="239"/>
      <c r="C12" s="836"/>
      <c r="D12" s="49"/>
      <c r="E12" s="262"/>
      <c r="F12" s="49"/>
      <c r="G12" s="47"/>
      <c r="H12" s="49">
        <v>23</v>
      </c>
      <c r="I12" s="262"/>
      <c r="J12" s="49"/>
      <c r="K12" s="47"/>
      <c r="L12" s="49"/>
      <c r="M12" s="47"/>
      <c r="N12" s="44"/>
      <c r="O12" s="47"/>
      <c r="P12" s="842"/>
      <c r="Q12" s="48"/>
      <c r="R12" s="13">
        <v>9.09</v>
      </c>
      <c r="S12" s="34">
        <v>0.28000000000000003</v>
      </c>
      <c r="T12" s="13"/>
      <c r="U12" s="3"/>
      <c r="V12" s="13"/>
      <c r="W12" s="34"/>
      <c r="X12" s="2"/>
      <c r="Y12" s="451"/>
      <c r="Z12" s="1"/>
      <c r="AA12" s="169"/>
      <c r="AB12" s="44"/>
      <c r="AC12" s="46"/>
      <c r="AD12" s="44">
        <v>0.03</v>
      </c>
      <c r="AE12" s="262">
        <v>1.8</v>
      </c>
      <c r="AF12" s="44"/>
      <c r="AG12" s="262"/>
      <c r="AH12" s="44"/>
      <c r="AI12" s="262"/>
      <c r="AJ12" s="45"/>
      <c r="AK12" s="261"/>
      <c r="AL12" s="44"/>
      <c r="AM12" s="261"/>
      <c r="AN12" s="586"/>
      <c r="AO12" s="456"/>
      <c r="AP12" s="50"/>
      <c r="AQ12" s="610"/>
      <c r="AR12" s="52"/>
      <c r="AS12" s="459"/>
      <c r="AT12" s="44"/>
      <c r="AU12" s="46"/>
      <c r="AV12" s="266">
        <f t="shared" si="0"/>
        <v>32.120000000000005</v>
      </c>
      <c r="AW12" s="851">
        <f t="shared" si="1"/>
        <v>2.08</v>
      </c>
      <c r="AX12" s="52"/>
      <c r="AY12" s="848"/>
      <c r="AZ12" s="53">
        <f t="shared" si="2"/>
        <v>32.120000000000005</v>
      </c>
      <c r="BA12" s="187">
        <f t="shared" si="3"/>
        <v>2.08</v>
      </c>
    </row>
    <row r="13" spans="1:58" ht="17.25" x14ac:dyDescent="0.35">
      <c r="A13" s="68" t="s">
        <v>17</v>
      </c>
      <c r="B13" s="239"/>
      <c r="C13" s="836"/>
      <c r="D13" s="49">
        <v>0.03</v>
      </c>
      <c r="E13" s="262"/>
      <c r="F13" s="49"/>
      <c r="G13" s="47"/>
      <c r="H13" s="49"/>
      <c r="I13" s="262"/>
      <c r="J13" s="49"/>
      <c r="K13" s="47"/>
      <c r="L13" s="49"/>
      <c r="M13" s="47"/>
      <c r="N13" s="44"/>
      <c r="O13" s="47"/>
      <c r="P13" s="842"/>
      <c r="Q13" s="48"/>
      <c r="R13" s="13"/>
      <c r="S13" s="34"/>
      <c r="T13" s="13"/>
      <c r="U13" s="3"/>
      <c r="V13" s="13">
        <v>1.97</v>
      </c>
      <c r="W13" s="34">
        <v>1.89</v>
      </c>
      <c r="X13" s="2">
        <v>22</v>
      </c>
      <c r="Y13" s="451">
        <v>7</v>
      </c>
      <c r="Z13" s="1"/>
      <c r="AA13" s="169"/>
      <c r="AB13" s="44"/>
      <c r="AC13" s="46"/>
      <c r="AD13" s="44"/>
      <c r="AE13" s="47"/>
      <c r="AF13" s="44"/>
      <c r="AG13" s="47"/>
      <c r="AH13" s="44"/>
      <c r="AI13" s="262"/>
      <c r="AJ13" s="45"/>
      <c r="AK13" s="261"/>
      <c r="AL13" s="44"/>
      <c r="AM13" s="261"/>
      <c r="AN13" s="586"/>
      <c r="AO13" s="456"/>
      <c r="AP13" s="50"/>
      <c r="AQ13" s="610"/>
      <c r="AR13" s="52"/>
      <c r="AS13" s="459"/>
      <c r="AT13" s="44"/>
      <c r="AU13" s="46"/>
      <c r="AV13" s="266">
        <f t="shared" si="0"/>
        <v>24</v>
      </c>
      <c r="AW13" s="851">
        <f t="shared" si="1"/>
        <v>8.89</v>
      </c>
      <c r="AX13" s="52"/>
      <c r="AY13" s="848">
        <v>3.97</v>
      </c>
      <c r="AZ13" s="53">
        <f t="shared" si="2"/>
        <v>24</v>
      </c>
      <c r="BA13" s="187">
        <f t="shared" si="3"/>
        <v>12.860000000000001</v>
      </c>
    </row>
    <row r="14" spans="1:58" ht="17.25" x14ac:dyDescent="0.35">
      <c r="A14" s="68" t="s">
        <v>181</v>
      </c>
      <c r="B14" s="239"/>
      <c r="C14" s="836"/>
      <c r="D14" s="49"/>
      <c r="E14" s="262"/>
      <c r="F14" s="49"/>
      <c r="G14" s="47"/>
      <c r="H14" s="49">
        <v>22</v>
      </c>
      <c r="I14" s="262">
        <v>106</v>
      </c>
      <c r="J14" s="49"/>
      <c r="K14" s="47"/>
      <c r="L14" s="49"/>
      <c r="M14" s="47"/>
      <c r="N14" s="44"/>
      <c r="O14" s="47"/>
      <c r="P14" s="842"/>
      <c r="Q14" s="48"/>
      <c r="R14" s="13"/>
      <c r="S14" s="3"/>
      <c r="T14" s="13"/>
      <c r="U14" s="3"/>
      <c r="V14" s="13"/>
      <c r="W14" s="34"/>
      <c r="X14" s="2">
        <v>56</v>
      </c>
      <c r="Y14" s="451">
        <v>40.700000000000003</v>
      </c>
      <c r="Z14" s="1"/>
      <c r="AA14" s="169"/>
      <c r="AB14" s="44"/>
      <c r="AC14" s="46"/>
      <c r="AD14" s="44"/>
      <c r="AE14" s="47"/>
      <c r="AF14" s="44"/>
      <c r="AG14" s="47"/>
      <c r="AH14" s="44"/>
      <c r="AI14" s="262"/>
      <c r="AJ14" s="45"/>
      <c r="AK14" s="261"/>
      <c r="AL14" s="44"/>
      <c r="AM14" s="261"/>
      <c r="AN14" s="586"/>
      <c r="AO14" s="456"/>
      <c r="AP14" s="50"/>
      <c r="AQ14" s="610"/>
      <c r="AR14" s="52"/>
      <c r="AS14" s="459"/>
      <c r="AT14" s="44"/>
      <c r="AU14" s="46"/>
      <c r="AV14" s="266">
        <f t="shared" si="0"/>
        <v>78</v>
      </c>
      <c r="AW14" s="851">
        <f t="shared" si="1"/>
        <v>146.69999999999999</v>
      </c>
      <c r="AX14" s="52"/>
      <c r="AY14" s="459"/>
      <c r="AZ14" s="53">
        <f t="shared" si="2"/>
        <v>78</v>
      </c>
      <c r="BA14" s="187">
        <f t="shared" si="3"/>
        <v>146.69999999999999</v>
      </c>
    </row>
    <row r="15" spans="1:58" ht="18" thickBot="1" x14ac:dyDescent="0.4">
      <c r="A15" s="188" t="s">
        <v>19</v>
      </c>
      <c r="B15" s="837"/>
      <c r="C15" s="836"/>
      <c r="D15" s="193"/>
      <c r="E15" s="262"/>
      <c r="F15" s="193"/>
      <c r="G15" s="192"/>
      <c r="H15" s="193">
        <v>80</v>
      </c>
      <c r="I15" s="262">
        <v>5</v>
      </c>
      <c r="J15" s="193"/>
      <c r="K15" s="192"/>
      <c r="L15" s="193"/>
      <c r="M15" s="192"/>
      <c r="N15" s="189"/>
      <c r="O15" s="192"/>
      <c r="P15" s="843">
        <v>2.52</v>
      </c>
      <c r="Q15" s="208"/>
      <c r="R15" s="209"/>
      <c r="S15" s="211"/>
      <c r="T15" s="209">
        <v>0.09</v>
      </c>
      <c r="U15" s="211"/>
      <c r="V15" s="209">
        <v>32.229999999999997</v>
      </c>
      <c r="W15" s="34">
        <v>44.46</v>
      </c>
      <c r="X15" s="210">
        <v>31</v>
      </c>
      <c r="Y15" s="451">
        <v>26.8</v>
      </c>
      <c r="Z15" s="207"/>
      <c r="AA15" s="452"/>
      <c r="AB15" s="189"/>
      <c r="AC15" s="191"/>
      <c r="AD15" s="189"/>
      <c r="AE15" s="192"/>
      <c r="AF15" s="189"/>
      <c r="AG15" s="192"/>
      <c r="AH15" s="189">
        <v>7.76</v>
      </c>
      <c r="AI15" s="262">
        <v>0.05</v>
      </c>
      <c r="AJ15" s="190">
        <v>0.1</v>
      </c>
      <c r="AK15" s="261">
        <v>0.06</v>
      </c>
      <c r="AL15" s="189"/>
      <c r="AM15" s="261"/>
      <c r="AN15" s="614"/>
      <c r="AO15" s="457"/>
      <c r="AP15" s="194"/>
      <c r="AQ15" s="611"/>
      <c r="AR15" s="195"/>
      <c r="AS15" s="460"/>
      <c r="AT15" s="189">
        <v>43.82</v>
      </c>
      <c r="AU15" s="191">
        <v>24.65</v>
      </c>
      <c r="AV15" s="266">
        <f t="shared" si="0"/>
        <v>197.51999999999998</v>
      </c>
      <c r="AW15" s="851">
        <f t="shared" si="1"/>
        <v>101.02000000000001</v>
      </c>
      <c r="AX15" s="195"/>
      <c r="AY15" s="460"/>
      <c r="AZ15" s="196">
        <f t="shared" si="2"/>
        <v>197.51999999999998</v>
      </c>
      <c r="BA15" s="197">
        <f t="shared" si="3"/>
        <v>101.02000000000001</v>
      </c>
    </row>
    <row r="16" spans="1:58" s="301" customFormat="1" ht="18.75" thickBot="1" x14ac:dyDescent="0.4">
      <c r="A16" s="293" t="s">
        <v>20</v>
      </c>
      <c r="B16" s="296">
        <f t="shared" ref="B16:AG16" si="4">SUM(B5:B15)</f>
        <v>792</v>
      </c>
      <c r="C16" s="297">
        <f t="shared" si="4"/>
        <v>745</v>
      </c>
      <c r="D16" s="294">
        <f t="shared" si="4"/>
        <v>21.78</v>
      </c>
      <c r="E16" s="297">
        <f t="shared" si="4"/>
        <v>37.07</v>
      </c>
      <c r="F16" s="294">
        <f t="shared" si="4"/>
        <v>0</v>
      </c>
      <c r="G16" s="297">
        <f t="shared" si="4"/>
        <v>51.47</v>
      </c>
      <c r="H16" s="294">
        <f t="shared" si="4"/>
        <v>886</v>
      </c>
      <c r="I16" s="297">
        <f t="shared" si="4"/>
        <v>811</v>
      </c>
      <c r="J16" s="294">
        <f t="shared" si="4"/>
        <v>268.71000000000004</v>
      </c>
      <c r="K16" s="297">
        <f t="shared" si="4"/>
        <v>294</v>
      </c>
      <c r="L16" s="294">
        <f t="shared" si="4"/>
        <v>504.16999999999996</v>
      </c>
      <c r="M16" s="297">
        <f t="shared" si="4"/>
        <v>468.39000000000004</v>
      </c>
      <c r="N16" s="296">
        <f t="shared" si="4"/>
        <v>57.92</v>
      </c>
      <c r="O16" s="297">
        <f t="shared" si="4"/>
        <v>86.710000000000008</v>
      </c>
      <c r="P16" s="294">
        <f t="shared" si="4"/>
        <v>153.09000000000003</v>
      </c>
      <c r="Q16" s="297">
        <f t="shared" si="4"/>
        <v>135.93</v>
      </c>
      <c r="R16" s="294">
        <f t="shared" si="4"/>
        <v>238.62</v>
      </c>
      <c r="S16" s="297">
        <f t="shared" si="4"/>
        <v>339.35999999999996</v>
      </c>
      <c r="T16" s="294">
        <f t="shared" si="4"/>
        <v>116.37</v>
      </c>
      <c r="U16" s="297">
        <f t="shared" si="4"/>
        <v>149.32</v>
      </c>
      <c r="V16" s="294">
        <f t="shared" si="4"/>
        <v>4201.4399999999996</v>
      </c>
      <c r="W16" s="297">
        <f t="shared" si="4"/>
        <v>3898.52</v>
      </c>
      <c r="X16" s="294">
        <f t="shared" si="4"/>
        <v>2661</v>
      </c>
      <c r="Y16" s="295">
        <f t="shared" si="4"/>
        <v>3603.1000000000004</v>
      </c>
      <c r="Z16" s="296">
        <f t="shared" si="4"/>
        <v>193.75</v>
      </c>
      <c r="AA16" s="295">
        <f t="shared" si="4"/>
        <v>199.4674</v>
      </c>
      <c r="AB16" s="296">
        <f t="shared" si="4"/>
        <v>287.76</v>
      </c>
      <c r="AC16" s="295">
        <f t="shared" si="4"/>
        <v>334.88000000000005</v>
      </c>
      <c r="AD16" s="296">
        <f t="shared" si="4"/>
        <v>947.53999999999985</v>
      </c>
      <c r="AE16" s="297">
        <f t="shared" si="4"/>
        <v>818.35</v>
      </c>
      <c r="AF16" s="296">
        <f t="shared" si="4"/>
        <v>2337.17</v>
      </c>
      <c r="AG16" s="297">
        <f t="shared" si="4"/>
        <v>2108.31</v>
      </c>
      <c r="AH16" s="296">
        <f t="shared" ref="AH16:AU16" si="5">SUM(AH5:AH15)</f>
        <v>537.13</v>
      </c>
      <c r="AI16" s="297">
        <f t="shared" si="5"/>
        <v>574.07999999999993</v>
      </c>
      <c r="AJ16" s="294">
        <f t="shared" si="5"/>
        <v>370.32000000000005</v>
      </c>
      <c r="AK16" s="295">
        <f t="shared" si="5"/>
        <v>431.85000000000008</v>
      </c>
      <c r="AL16" s="296">
        <f t="shared" si="5"/>
        <v>0</v>
      </c>
      <c r="AM16" s="295">
        <f t="shared" si="5"/>
        <v>0</v>
      </c>
      <c r="AN16" s="296">
        <f t="shared" si="5"/>
        <v>4207</v>
      </c>
      <c r="AO16" s="295">
        <f t="shared" si="5"/>
        <v>4848</v>
      </c>
      <c r="AP16" s="296">
        <f t="shared" si="5"/>
        <v>201.13</v>
      </c>
      <c r="AQ16" s="295">
        <f t="shared" si="5"/>
        <v>211.04000000000002</v>
      </c>
      <c r="AR16" s="296">
        <f t="shared" si="5"/>
        <v>279.02320000000003</v>
      </c>
      <c r="AS16" s="295">
        <f t="shared" si="5"/>
        <v>265.08930000000004</v>
      </c>
      <c r="AT16" s="296">
        <f t="shared" si="5"/>
        <v>1567.1499999999999</v>
      </c>
      <c r="AU16" s="295">
        <f t="shared" si="5"/>
        <v>1240.3000000000004</v>
      </c>
      <c r="AV16" s="299">
        <f t="shared" si="0"/>
        <v>20829.073199999999</v>
      </c>
      <c r="AW16" s="852">
        <f t="shared" si="1"/>
        <v>21651.236699999998</v>
      </c>
      <c r="AX16" s="298">
        <f>SUM(AX5:AX15)</f>
        <v>0</v>
      </c>
      <c r="AY16" s="849">
        <f>SUM(AY5:AY15)</f>
        <v>24867.670000000006</v>
      </c>
      <c r="AZ16" s="299">
        <f t="shared" si="2"/>
        <v>20829.073199999999</v>
      </c>
      <c r="BA16" s="300">
        <f t="shared" si="3"/>
        <v>46518.906700000007</v>
      </c>
      <c r="BB16" s="601"/>
      <c r="BC16" s="601"/>
      <c r="BD16" s="601"/>
      <c r="BE16" s="601"/>
      <c r="BF16" s="601"/>
    </row>
    <row r="17" spans="1:58" ht="18" thickBot="1" x14ac:dyDescent="0.4">
      <c r="A17" s="212" t="s">
        <v>11</v>
      </c>
      <c r="B17" s="838"/>
      <c r="C17" s="839"/>
      <c r="D17" s="202"/>
      <c r="E17" s="201"/>
      <c r="F17" s="202"/>
      <c r="G17" s="840">
        <v>-0.03</v>
      </c>
      <c r="H17" s="202"/>
      <c r="I17" s="201"/>
      <c r="J17" s="202"/>
      <c r="K17" s="201"/>
      <c r="L17" s="202"/>
      <c r="M17" s="201"/>
      <c r="N17" s="198"/>
      <c r="O17" s="840">
        <v>0.5</v>
      </c>
      <c r="P17" s="844"/>
      <c r="Q17" s="214"/>
      <c r="R17" s="845">
        <v>3.95</v>
      </c>
      <c r="S17" s="846">
        <v>8.43</v>
      </c>
      <c r="T17" s="845"/>
      <c r="U17" s="216"/>
      <c r="V17" s="845"/>
      <c r="W17" s="216"/>
      <c r="X17" s="215"/>
      <c r="Y17" s="453"/>
      <c r="Z17" s="213"/>
      <c r="AA17" s="453"/>
      <c r="AB17" s="198"/>
      <c r="AC17" s="200"/>
      <c r="AD17" s="198">
        <v>0.42</v>
      </c>
      <c r="AE17" s="840">
        <v>0.27</v>
      </c>
      <c r="AF17" s="198"/>
      <c r="AG17" s="201"/>
      <c r="AH17" s="198"/>
      <c r="AI17" s="840">
        <v>-0.01</v>
      </c>
      <c r="AJ17" s="199"/>
      <c r="AK17" s="200"/>
      <c r="AL17" s="198"/>
      <c r="AM17" s="200"/>
      <c r="AN17" s="268"/>
      <c r="AO17" s="458"/>
      <c r="AP17" s="203"/>
      <c r="AQ17" s="612"/>
      <c r="AR17" s="204"/>
      <c r="AS17" s="461"/>
      <c r="AT17" s="198"/>
      <c r="AU17" s="200"/>
      <c r="AV17" s="205">
        <f t="shared" si="0"/>
        <v>4.37</v>
      </c>
      <c r="AW17" s="853">
        <f t="shared" si="1"/>
        <v>9.16</v>
      </c>
      <c r="AX17" s="204"/>
      <c r="AY17" s="461"/>
      <c r="AZ17" s="205">
        <f t="shared" si="2"/>
        <v>4.37</v>
      </c>
      <c r="BA17" s="206">
        <f t="shared" si="3"/>
        <v>9.16</v>
      </c>
    </row>
    <row r="18" spans="1:58" s="301" customFormat="1" ht="18.75" thickBot="1" x14ac:dyDescent="0.4">
      <c r="A18" s="302" t="s">
        <v>12</v>
      </c>
      <c r="B18" s="305">
        <f t="shared" ref="B18:AG18" si="6">B16+B17</f>
        <v>792</v>
      </c>
      <c r="C18" s="306">
        <f t="shared" si="6"/>
        <v>745</v>
      </c>
      <c r="D18" s="303">
        <f t="shared" si="6"/>
        <v>21.78</v>
      </c>
      <c r="E18" s="306">
        <f t="shared" si="6"/>
        <v>37.07</v>
      </c>
      <c r="F18" s="303">
        <f t="shared" si="6"/>
        <v>0</v>
      </c>
      <c r="G18" s="306">
        <f t="shared" si="6"/>
        <v>51.44</v>
      </c>
      <c r="H18" s="303">
        <f t="shared" si="6"/>
        <v>886</v>
      </c>
      <c r="I18" s="306">
        <f t="shared" si="6"/>
        <v>811</v>
      </c>
      <c r="J18" s="303">
        <f t="shared" si="6"/>
        <v>268.71000000000004</v>
      </c>
      <c r="K18" s="306">
        <f t="shared" si="6"/>
        <v>294</v>
      </c>
      <c r="L18" s="303">
        <f t="shared" si="6"/>
        <v>504.16999999999996</v>
      </c>
      <c r="M18" s="306">
        <f t="shared" si="6"/>
        <v>468.39000000000004</v>
      </c>
      <c r="N18" s="305">
        <f t="shared" si="6"/>
        <v>57.92</v>
      </c>
      <c r="O18" s="306">
        <f t="shared" si="6"/>
        <v>87.210000000000008</v>
      </c>
      <c r="P18" s="303">
        <f t="shared" si="6"/>
        <v>153.09000000000003</v>
      </c>
      <c r="Q18" s="306">
        <f t="shared" si="6"/>
        <v>135.93</v>
      </c>
      <c r="R18" s="303">
        <f t="shared" si="6"/>
        <v>242.57</v>
      </c>
      <c r="S18" s="306">
        <f t="shared" si="6"/>
        <v>347.78999999999996</v>
      </c>
      <c r="T18" s="303">
        <f t="shared" si="6"/>
        <v>116.37</v>
      </c>
      <c r="U18" s="306">
        <f t="shared" si="6"/>
        <v>149.32</v>
      </c>
      <c r="V18" s="303">
        <f t="shared" si="6"/>
        <v>4201.4399999999996</v>
      </c>
      <c r="W18" s="306">
        <f t="shared" si="6"/>
        <v>3898.52</v>
      </c>
      <c r="X18" s="303">
        <f t="shared" si="6"/>
        <v>2661</v>
      </c>
      <c r="Y18" s="304">
        <f t="shared" si="6"/>
        <v>3603.1000000000004</v>
      </c>
      <c r="Z18" s="305">
        <f t="shared" si="6"/>
        <v>193.75</v>
      </c>
      <c r="AA18" s="304">
        <f t="shared" si="6"/>
        <v>199.4674</v>
      </c>
      <c r="AB18" s="305">
        <f t="shared" si="6"/>
        <v>287.76</v>
      </c>
      <c r="AC18" s="304">
        <f t="shared" si="6"/>
        <v>334.88000000000005</v>
      </c>
      <c r="AD18" s="305">
        <f t="shared" si="6"/>
        <v>947.95999999999981</v>
      </c>
      <c r="AE18" s="306">
        <f t="shared" si="6"/>
        <v>818.62</v>
      </c>
      <c r="AF18" s="305">
        <f t="shared" si="6"/>
        <v>2337.17</v>
      </c>
      <c r="AG18" s="306">
        <f t="shared" si="6"/>
        <v>2108.31</v>
      </c>
      <c r="AH18" s="305">
        <f t="shared" ref="AH18:AU18" si="7">AH16+AH17</f>
        <v>537.13</v>
      </c>
      <c r="AI18" s="306">
        <f t="shared" si="7"/>
        <v>574.06999999999994</v>
      </c>
      <c r="AJ18" s="303">
        <f t="shared" si="7"/>
        <v>370.32000000000005</v>
      </c>
      <c r="AK18" s="304">
        <f t="shared" si="7"/>
        <v>431.85000000000008</v>
      </c>
      <c r="AL18" s="305">
        <f t="shared" si="7"/>
        <v>0</v>
      </c>
      <c r="AM18" s="304">
        <f t="shared" si="7"/>
        <v>0</v>
      </c>
      <c r="AN18" s="305">
        <f t="shared" si="7"/>
        <v>4207</v>
      </c>
      <c r="AO18" s="304">
        <f t="shared" si="7"/>
        <v>4848</v>
      </c>
      <c r="AP18" s="305">
        <f t="shared" si="7"/>
        <v>201.13</v>
      </c>
      <c r="AQ18" s="304">
        <f t="shared" si="7"/>
        <v>211.04000000000002</v>
      </c>
      <c r="AR18" s="305">
        <f t="shared" si="7"/>
        <v>279.02320000000003</v>
      </c>
      <c r="AS18" s="304">
        <f t="shared" si="7"/>
        <v>265.08930000000004</v>
      </c>
      <c r="AT18" s="305">
        <f t="shared" si="7"/>
        <v>1567.1499999999999</v>
      </c>
      <c r="AU18" s="304">
        <f t="shared" si="7"/>
        <v>1240.3000000000004</v>
      </c>
      <c r="AV18" s="307">
        <f t="shared" si="0"/>
        <v>20833.443200000002</v>
      </c>
      <c r="AW18" s="854">
        <f t="shared" si="1"/>
        <v>21660.396700000001</v>
      </c>
      <c r="AX18" s="307">
        <f>AX16+AX17</f>
        <v>0</v>
      </c>
      <c r="AY18" s="850">
        <f>AY16+AY17</f>
        <v>24867.670000000006</v>
      </c>
      <c r="AZ18" s="307">
        <f t="shared" si="2"/>
        <v>20833.443200000002</v>
      </c>
      <c r="BA18" s="308">
        <f t="shared" si="3"/>
        <v>46528.06670000001</v>
      </c>
      <c r="BB18" s="601"/>
      <c r="BC18" s="601"/>
      <c r="BD18" s="601"/>
      <c r="BE18" s="601"/>
      <c r="BF18" s="601"/>
    </row>
    <row r="19" spans="1:58" x14ac:dyDescent="0.3">
      <c r="AT19" s="56"/>
      <c r="AU19" s="56"/>
    </row>
  </sheetData>
  <mergeCells count="29">
    <mergeCell ref="AZ3:BA3"/>
    <mergeCell ref="AN3:AO3"/>
    <mergeCell ref="AP3:AQ3"/>
    <mergeCell ref="AT3:AU3"/>
    <mergeCell ref="AR3:AS3"/>
    <mergeCell ref="AV3:AW3"/>
    <mergeCell ref="AX3:AY3"/>
    <mergeCell ref="AB3:AC3"/>
    <mergeCell ref="AD3:AE3"/>
    <mergeCell ref="AF3:AG3"/>
    <mergeCell ref="AH3:AI3"/>
    <mergeCell ref="AJ3:AK3"/>
    <mergeCell ref="AL3:AM3"/>
    <mergeCell ref="P3:Q3"/>
    <mergeCell ref="R3:S3"/>
    <mergeCell ref="T3:U3"/>
    <mergeCell ref="V3:W3"/>
    <mergeCell ref="X3:Y3"/>
    <mergeCell ref="Z3:AA3"/>
    <mergeCell ref="A1:AZ1"/>
    <mergeCell ref="A2:AZ2"/>
    <mergeCell ref="A3:A4"/>
    <mergeCell ref="N3:O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BB20"/>
  <sheetViews>
    <sheetView topLeftCell="A2" workbookViewId="0">
      <pane xSplit="1" topLeftCell="B1" activePane="topRight" state="frozen"/>
      <selection pane="topRight" activeCell="R7" sqref="R7"/>
    </sheetView>
  </sheetViews>
  <sheetFormatPr defaultRowHeight="14.25" x14ac:dyDescent="0.3"/>
  <cols>
    <col min="1" max="1" width="24.42578125" style="7" customWidth="1"/>
    <col min="2" max="2" width="11.85546875" style="7" customWidth="1"/>
    <col min="3" max="3" width="12.42578125" style="7" bestFit="1" customWidth="1"/>
    <col min="4" max="4" width="11.42578125" style="7" bestFit="1" customWidth="1"/>
    <col min="5" max="5" width="12.42578125" style="7" bestFit="1" customWidth="1"/>
    <col min="6" max="6" width="11.42578125" style="7" bestFit="1" customWidth="1"/>
    <col min="7" max="7" width="12.42578125" style="7" bestFit="1" customWidth="1"/>
    <col min="8" max="8" width="11.42578125" style="7" bestFit="1" customWidth="1"/>
    <col min="9" max="9" width="12.42578125" style="7" bestFit="1" customWidth="1"/>
    <col min="10" max="10" width="11.42578125" style="7" bestFit="1" customWidth="1"/>
    <col min="11" max="11" width="12.42578125" style="7" bestFit="1" customWidth="1"/>
    <col min="12" max="12" width="11.42578125" style="7" bestFit="1" customWidth="1"/>
    <col min="13" max="13" width="12.42578125" style="7" bestFit="1" customWidth="1"/>
    <col min="14" max="14" width="11.42578125" style="7" bestFit="1" customWidth="1"/>
    <col min="15" max="15" width="12.42578125" style="7" bestFit="1" customWidth="1"/>
    <col min="16" max="16" width="11.42578125" style="7" bestFit="1" customWidth="1"/>
    <col min="17" max="17" width="12.42578125" style="7" bestFit="1" customWidth="1"/>
    <col min="18" max="18" width="11.42578125" style="7" bestFit="1" customWidth="1"/>
    <col min="19" max="19" width="12.42578125" style="7" bestFit="1" customWidth="1"/>
    <col min="20" max="20" width="11.42578125" style="7" bestFit="1" customWidth="1"/>
    <col min="21" max="21" width="12.42578125" style="7" bestFit="1" customWidth="1"/>
    <col min="22" max="22" width="11.42578125" style="7" bestFit="1" customWidth="1"/>
    <col min="23" max="23" width="11.5703125" style="7" customWidth="1"/>
    <col min="24" max="24" width="11.42578125" style="7" bestFit="1" customWidth="1"/>
    <col min="25" max="25" width="12.42578125" style="7" bestFit="1" customWidth="1"/>
    <col min="26" max="26" width="11.42578125" style="24" bestFit="1" customWidth="1"/>
    <col min="27" max="27" width="12.42578125" style="24" bestFit="1" customWidth="1"/>
    <col min="28" max="28" width="11.42578125" style="7" bestFit="1" customWidth="1"/>
    <col min="29" max="29" width="12.42578125" style="7" bestFit="1" customWidth="1"/>
    <col min="30" max="30" width="11.42578125" style="7" bestFit="1" customWidth="1"/>
    <col min="31" max="31" width="12.42578125" style="7" bestFit="1" customWidth="1"/>
    <col min="32" max="32" width="11.42578125" style="7" bestFit="1" customWidth="1"/>
    <col min="33" max="33" width="12.42578125" style="7" bestFit="1" customWidth="1"/>
    <col min="34" max="34" width="11.42578125" style="7" bestFit="1" customWidth="1"/>
    <col min="35" max="35" width="12.42578125" style="7" bestFit="1" customWidth="1"/>
    <col min="36" max="36" width="11.42578125" style="7" bestFit="1" customWidth="1"/>
    <col min="37" max="37" width="12.42578125" style="7" bestFit="1" customWidth="1"/>
    <col min="38" max="38" width="11.42578125" style="7" bestFit="1" customWidth="1"/>
    <col min="39" max="39" width="12.42578125" style="7" bestFit="1" customWidth="1"/>
    <col min="40" max="40" width="11.42578125" style="7" bestFit="1" customWidth="1"/>
    <col min="41" max="41" width="12.42578125" style="7" bestFit="1" customWidth="1"/>
    <col min="42" max="42" width="11.42578125" style="7" customWidth="1"/>
    <col min="43" max="43" width="12.42578125" style="7" bestFit="1" customWidth="1"/>
    <col min="44" max="44" width="11.42578125" style="7" bestFit="1" customWidth="1"/>
    <col min="45" max="45" width="12.42578125" style="7" bestFit="1" customWidth="1"/>
    <col min="46" max="46" width="11.42578125" style="7" bestFit="1" customWidth="1"/>
    <col min="47" max="47" width="12.42578125" style="7" bestFit="1" customWidth="1"/>
    <col min="48" max="48" width="11.42578125" style="7" bestFit="1" customWidth="1"/>
    <col min="49" max="49" width="12.42578125" style="7" bestFit="1" customWidth="1"/>
    <col min="50" max="50" width="11.42578125" style="7" bestFit="1" customWidth="1"/>
    <col min="51" max="51" width="12.42578125" style="7" bestFit="1" customWidth="1"/>
    <col min="52" max="52" width="11.42578125" style="7" bestFit="1" customWidth="1"/>
    <col min="53" max="53" width="12.42578125" style="7" bestFit="1" customWidth="1"/>
    <col min="54" max="54" width="9.5703125" style="7" bestFit="1" customWidth="1"/>
    <col min="55" max="16384" width="9.140625" style="7"/>
  </cols>
  <sheetData>
    <row r="1" spans="1:54" ht="28.5" customHeight="1" x14ac:dyDescent="0.3">
      <c r="A1" s="1335" t="s">
        <v>152</v>
      </c>
      <c r="B1" s="1335"/>
      <c r="C1" s="1335"/>
      <c r="D1" s="1335"/>
      <c r="E1" s="1335"/>
      <c r="F1" s="1335"/>
      <c r="G1" s="1335"/>
      <c r="H1" s="1335"/>
      <c r="I1" s="1335"/>
      <c r="J1" s="1335"/>
      <c r="K1" s="1335"/>
      <c r="L1" s="1335"/>
      <c r="M1" s="1335"/>
      <c r="N1" s="1335"/>
      <c r="O1" s="1335"/>
      <c r="P1" s="1335"/>
      <c r="Q1" s="1335"/>
      <c r="R1" s="1335"/>
      <c r="S1" s="1335"/>
      <c r="T1" s="1335"/>
      <c r="U1" s="1335"/>
      <c r="V1" s="1335"/>
      <c r="W1" s="1335"/>
      <c r="X1" s="1335"/>
      <c r="Y1" s="1335"/>
      <c r="Z1" s="1335"/>
      <c r="AA1" s="1335"/>
      <c r="AB1" s="1335"/>
      <c r="AC1" s="1335"/>
      <c r="AD1" s="1335"/>
      <c r="AE1" s="1335"/>
      <c r="AF1" s="1335"/>
      <c r="AG1" s="1335"/>
      <c r="AH1" s="1335"/>
      <c r="AI1" s="1335"/>
      <c r="AJ1" s="1335"/>
      <c r="AK1" s="1335"/>
      <c r="AL1" s="1335"/>
      <c r="AM1" s="1335"/>
      <c r="AN1" s="1335"/>
      <c r="AO1" s="1335"/>
      <c r="AP1" s="1335"/>
      <c r="AQ1" s="1335"/>
      <c r="AR1" s="1335"/>
      <c r="AS1" s="1335"/>
      <c r="AT1" s="1335"/>
      <c r="AU1" s="1335"/>
      <c r="AV1" s="1335"/>
      <c r="AW1" s="1335"/>
      <c r="AX1" s="1335"/>
      <c r="AY1" s="1335"/>
      <c r="AZ1" s="1335"/>
      <c r="BA1" s="26"/>
    </row>
    <row r="2" spans="1:54" ht="15" thickBot="1" x14ac:dyDescent="0.35">
      <c r="A2" s="1247"/>
      <c r="B2" s="1247"/>
      <c r="C2" s="1247"/>
      <c r="D2" s="1247"/>
      <c r="E2" s="1247"/>
      <c r="F2" s="1247"/>
      <c r="G2" s="1247"/>
      <c r="H2" s="1247"/>
      <c r="I2" s="1247"/>
      <c r="J2" s="1247"/>
      <c r="K2" s="1247"/>
      <c r="L2" s="1247"/>
      <c r="M2" s="1247"/>
      <c r="N2" s="1247"/>
      <c r="O2" s="1247"/>
      <c r="P2" s="1247"/>
      <c r="Q2" s="1247"/>
      <c r="R2" s="1247"/>
      <c r="S2" s="1247"/>
      <c r="T2" s="1247"/>
      <c r="U2" s="1247"/>
      <c r="V2" s="1247"/>
      <c r="W2" s="1247"/>
      <c r="X2" s="1247"/>
      <c r="Y2" s="1247"/>
      <c r="Z2" s="1247"/>
      <c r="AA2" s="1247"/>
      <c r="AB2" s="1247"/>
      <c r="AC2" s="1247"/>
      <c r="AD2" s="1247"/>
      <c r="AE2" s="1247"/>
      <c r="AF2" s="1247"/>
      <c r="AG2" s="1247"/>
      <c r="AH2" s="1247"/>
      <c r="AI2" s="1247"/>
      <c r="AJ2" s="1247"/>
      <c r="AK2" s="1247"/>
      <c r="AL2" s="1247"/>
      <c r="AM2" s="1247"/>
      <c r="AN2" s="1247"/>
      <c r="AO2" s="1247"/>
      <c r="AP2" s="1247"/>
      <c r="AQ2" s="1247"/>
      <c r="AR2" s="1247"/>
      <c r="AS2" s="1247"/>
      <c r="AT2" s="1247"/>
      <c r="AU2" s="1247"/>
      <c r="AV2" s="1247"/>
      <c r="AW2" s="1247"/>
      <c r="AX2" s="1247"/>
      <c r="AY2" s="1247"/>
      <c r="AZ2" s="1247"/>
      <c r="BA2" s="27"/>
    </row>
    <row r="3" spans="1:54" ht="26.25" customHeight="1" thickBot="1" x14ac:dyDescent="0.35">
      <c r="A3" s="1336" t="s">
        <v>14</v>
      </c>
      <c r="B3" s="1319" t="s">
        <v>153</v>
      </c>
      <c r="C3" s="1320"/>
      <c r="D3" s="1321" t="s">
        <v>154</v>
      </c>
      <c r="E3" s="1321"/>
      <c r="F3" s="1319" t="s">
        <v>155</v>
      </c>
      <c r="G3" s="1320"/>
      <c r="H3" s="1321" t="s">
        <v>156</v>
      </c>
      <c r="I3" s="1321"/>
      <c r="J3" s="1319" t="s">
        <v>157</v>
      </c>
      <c r="K3" s="1320"/>
      <c r="L3" s="1319" t="s">
        <v>158</v>
      </c>
      <c r="M3" s="1320"/>
      <c r="N3" s="1321" t="s">
        <v>291</v>
      </c>
      <c r="O3" s="1321"/>
      <c r="P3" s="1319" t="s">
        <v>159</v>
      </c>
      <c r="Q3" s="1320"/>
      <c r="R3" s="1321" t="s">
        <v>160</v>
      </c>
      <c r="S3" s="1321"/>
      <c r="T3" s="1319" t="s">
        <v>161</v>
      </c>
      <c r="U3" s="1320"/>
      <c r="V3" s="1319" t="s">
        <v>162</v>
      </c>
      <c r="W3" s="1320"/>
      <c r="X3" s="1319" t="s">
        <v>163</v>
      </c>
      <c r="Y3" s="1320"/>
      <c r="Z3" s="1203" t="s">
        <v>164</v>
      </c>
      <c r="AA3" s="1203"/>
      <c r="AB3" s="1319" t="s">
        <v>165</v>
      </c>
      <c r="AC3" s="1320"/>
      <c r="AD3" s="1338" t="s">
        <v>166</v>
      </c>
      <c r="AE3" s="1338"/>
      <c r="AF3" s="1319" t="s">
        <v>167</v>
      </c>
      <c r="AG3" s="1320"/>
      <c r="AH3" s="1321" t="s">
        <v>168</v>
      </c>
      <c r="AI3" s="1320"/>
      <c r="AJ3" s="1321" t="s">
        <v>169</v>
      </c>
      <c r="AK3" s="1321"/>
      <c r="AL3" s="1322" t="s">
        <v>170</v>
      </c>
      <c r="AM3" s="1323"/>
      <c r="AN3" s="1321" t="s">
        <v>171</v>
      </c>
      <c r="AO3" s="1321"/>
      <c r="AP3" s="1319" t="s">
        <v>172</v>
      </c>
      <c r="AQ3" s="1320"/>
      <c r="AR3" s="1321" t="s">
        <v>173</v>
      </c>
      <c r="AS3" s="1321"/>
      <c r="AT3" s="1319" t="s">
        <v>174</v>
      </c>
      <c r="AU3" s="1320"/>
      <c r="AV3" s="1319" t="s">
        <v>1</v>
      </c>
      <c r="AW3" s="1320"/>
      <c r="AX3" s="1322" t="s">
        <v>175</v>
      </c>
      <c r="AY3" s="1323"/>
      <c r="AZ3" s="1322" t="s">
        <v>2</v>
      </c>
      <c r="BA3" s="1323"/>
    </row>
    <row r="4" spans="1:54" ht="15" thickBot="1" x14ac:dyDescent="0.35">
      <c r="A4" s="1337"/>
      <c r="B4" s="360" t="s">
        <v>292</v>
      </c>
      <c r="C4" s="362" t="s">
        <v>279</v>
      </c>
      <c r="D4" s="361" t="s">
        <v>292</v>
      </c>
      <c r="E4" s="361" t="s">
        <v>279</v>
      </c>
      <c r="F4" s="360" t="s">
        <v>292</v>
      </c>
      <c r="G4" s="362" t="s">
        <v>279</v>
      </c>
      <c r="H4" s="360" t="s">
        <v>292</v>
      </c>
      <c r="I4" s="362" t="s">
        <v>279</v>
      </c>
      <c r="J4" s="361" t="s">
        <v>292</v>
      </c>
      <c r="K4" s="361" t="s">
        <v>279</v>
      </c>
      <c r="L4" s="360" t="s">
        <v>292</v>
      </c>
      <c r="M4" s="362" t="s">
        <v>279</v>
      </c>
      <c r="N4" s="361" t="s">
        <v>292</v>
      </c>
      <c r="O4" s="361" t="s">
        <v>279</v>
      </c>
      <c r="P4" s="361" t="s">
        <v>292</v>
      </c>
      <c r="Q4" s="361" t="s">
        <v>279</v>
      </c>
      <c r="R4" s="360" t="s">
        <v>292</v>
      </c>
      <c r="S4" s="361" t="s">
        <v>279</v>
      </c>
      <c r="T4" s="360" t="s">
        <v>292</v>
      </c>
      <c r="U4" s="362" t="s">
        <v>279</v>
      </c>
      <c r="V4" s="361" t="s">
        <v>292</v>
      </c>
      <c r="W4" s="361" t="s">
        <v>279</v>
      </c>
      <c r="X4" s="360" t="s">
        <v>292</v>
      </c>
      <c r="Y4" s="362" t="s">
        <v>279</v>
      </c>
      <c r="Z4" s="360" t="s">
        <v>292</v>
      </c>
      <c r="AA4" s="362" t="s">
        <v>279</v>
      </c>
      <c r="AB4" s="361" t="s">
        <v>292</v>
      </c>
      <c r="AC4" s="361" t="s">
        <v>279</v>
      </c>
      <c r="AD4" s="360" t="s">
        <v>292</v>
      </c>
      <c r="AE4" s="361" t="s">
        <v>279</v>
      </c>
      <c r="AF4" s="360" t="s">
        <v>292</v>
      </c>
      <c r="AG4" s="362" t="s">
        <v>279</v>
      </c>
      <c r="AH4" s="361" t="s">
        <v>292</v>
      </c>
      <c r="AI4" s="361" t="s">
        <v>279</v>
      </c>
      <c r="AJ4" s="360" t="s">
        <v>292</v>
      </c>
      <c r="AK4" s="362" t="s">
        <v>279</v>
      </c>
      <c r="AL4" s="360" t="s">
        <v>292</v>
      </c>
      <c r="AM4" s="362" t="s">
        <v>279</v>
      </c>
      <c r="AN4" s="361" t="s">
        <v>292</v>
      </c>
      <c r="AO4" s="361" t="s">
        <v>279</v>
      </c>
      <c r="AP4" s="360" t="s">
        <v>292</v>
      </c>
      <c r="AQ4" s="362" t="s">
        <v>279</v>
      </c>
      <c r="AR4" s="361" t="s">
        <v>292</v>
      </c>
      <c r="AS4" s="361" t="s">
        <v>279</v>
      </c>
      <c r="AT4" s="361" t="s">
        <v>292</v>
      </c>
      <c r="AU4" s="361" t="s">
        <v>279</v>
      </c>
      <c r="AV4" s="361" t="s">
        <v>292</v>
      </c>
      <c r="AW4" s="361" t="s">
        <v>279</v>
      </c>
      <c r="AX4" s="360" t="s">
        <v>292</v>
      </c>
      <c r="AY4" s="362" t="s">
        <v>279</v>
      </c>
      <c r="AZ4" s="360" t="s">
        <v>292</v>
      </c>
      <c r="BA4" s="362" t="s">
        <v>279</v>
      </c>
    </row>
    <row r="5" spans="1:54" ht="15" x14ac:dyDescent="0.3">
      <c r="A5" s="28" t="s">
        <v>3</v>
      </c>
      <c r="B5" s="29"/>
      <c r="C5" s="862">
        <v>67888</v>
      </c>
      <c r="D5" s="30">
        <v>10</v>
      </c>
      <c r="E5" s="856">
        <v>-1</v>
      </c>
      <c r="F5" s="32"/>
      <c r="G5" s="31">
        <v>3067</v>
      </c>
      <c r="H5" s="30">
        <v>60451</v>
      </c>
      <c r="I5" s="856">
        <v>53329</v>
      </c>
      <c r="J5" s="32">
        <v>22838</v>
      </c>
      <c r="K5" s="31">
        <v>28770</v>
      </c>
      <c r="L5" s="32">
        <v>544</v>
      </c>
      <c r="M5" s="31">
        <v>104</v>
      </c>
      <c r="N5" s="30">
        <v>4674</v>
      </c>
      <c r="O5" s="856">
        <v>6678</v>
      </c>
      <c r="P5" s="32">
        <v>18344</v>
      </c>
      <c r="Q5" s="31">
        <v>19088</v>
      </c>
      <c r="R5" s="30">
        <v>30817</v>
      </c>
      <c r="S5" s="856">
        <v>38378</v>
      </c>
      <c r="T5" s="32">
        <v>1563</v>
      </c>
      <c r="U5" s="31">
        <v>2920</v>
      </c>
      <c r="V5" s="32">
        <v>66707</v>
      </c>
      <c r="W5" s="31">
        <v>67982</v>
      </c>
      <c r="X5" s="32">
        <v>65085</v>
      </c>
      <c r="Y5" s="31">
        <v>75542</v>
      </c>
      <c r="Z5" s="869">
        <v>1815</v>
      </c>
      <c r="AA5" s="867">
        <v>3067</v>
      </c>
      <c r="AB5" s="32">
        <v>2170</v>
      </c>
      <c r="AC5" s="31">
        <v>3452</v>
      </c>
      <c r="AD5" s="30">
        <v>41283</v>
      </c>
      <c r="AE5" s="856">
        <v>68572</v>
      </c>
      <c r="AF5" s="32">
        <v>60932</v>
      </c>
      <c r="AG5" s="31">
        <v>69845</v>
      </c>
      <c r="AH5" s="30">
        <v>4287</v>
      </c>
      <c r="AI5" s="31">
        <v>2559</v>
      </c>
      <c r="AJ5" s="155">
        <v>30721</v>
      </c>
      <c r="AK5" s="872">
        <v>52721</v>
      </c>
      <c r="AL5" s="245"/>
      <c r="AM5" s="227"/>
      <c r="AN5" s="250">
        <v>217842</v>
      </c>
      <c r="AO5" s="879">
        <v>246605</v>
      </c>
      <c r="AP5" s="35">
        <v>1768</v>
      </c>
      <c r="AQ5" s="875">
        <v>2711</v>
      </c>
      <c r="AR5" s="36">
        <v>-2</v>
      </c>
      <c r="AS5" s="882">
        <v>33</v>
      </c>
      <c r="AT5" s="32">
        <v>58689</v>
      </c>
      <c r="AU5" s="31">
        <v>56424</v>
      </c>
      <c r="AV5" s="248">
        <f t="shared" ref="AV5:AV18" si="0">SUM(B5+D5+F5+H5+J5+L5+N5+P5+R5+T5+V5+X5+Z5+AB5+AD5+AF5+AH5+AJ5+AL5+AN5+AP5+AR5+AT5)</f>
        <v>690538</v>
      </c>
      <c r="AW5" s="858">
        <f t="shared" ref="AW5:AW18" si="1">SUM(C5+E5+G5+I5+K5+M5+O5+Q5+S5+U5+W5+Y5+AA5+AC5+AE5+AG5+AI5+AK5+AM5+AO5+AQ5+AS5+AU5)</f>
        <v>869734</v>
      </c>
      <c r="AX5" s="249"/>
      <c r="AY5" s="772">
        <v>8067897</v>
      </c>
      <c r="AZ5" s="248">
        <f t="shared" ref="AZ5:AZ18" si="2">AV5+AX5</f>
        <v>690538</v>
      </c>
      <c r="BA5" s="37">
        <f t="shared" ref="BA5:BA18" si="3">AW5+AY5</f>
        <v>8937631</v>
      </c>
      <c r="BB5" s="38"/>
    </row>
    <row r="6" spans="1:54" ht="15" x14ac:dyDescent="0.3">
      <c r="A6" s="28" t="s">
        <v>4</v>
      </c>
      <c r="B6" s="39"/>
      <c r="C6" s="862">
        <v>42557</v>
      </c>
      <c r="D6" s="14"/>
      <c r="E6" s="856">
        <v>41</v>
      </c>
      <c r="F6" s="12"/>
      <c r="G6" s="31">
        <v>1597</v>
      </c>
      <c r="H6" s="14">
        <v>63206</v>
      </c>
      <c r="I6" s="856">
        <v>30149</v>
      </c>
      <c r="J6" s="12">
        <v>3248</v>
      </c>
      <c r="K6" s="31">
        <v>49757</v>
      </c>
      <c r="L6" s="12">
        <v>60902</v>
      </c>
      <c r="M6" s="15">
        <v>62984</v>
      </c>
      <c r="N6" s="14">
        <v>410</v>
      </c>
      <c r="O6" s="856">
        <v>1204</v>
      </c>
      <c r="P6" s="12">
        <v>4937</v>
      </c>
      <c r="Q6" s="31">
        <v>2846</v>
      </c>
      <c r="R6" s="14">
        <v>3943</v>
      </c>
      <c r="S6" s="856">
        <v>7794</v>
      </c>
      <c r="T6" s="12">
        <v>6464</v>
      </c>
      <c r="U6" s="31">
        <v>10274</v>
      </c>
      <c r="V6" s="12">
        <v>212167</v>
      </c>
      <c r="W6" s="31">
        <v>158576</v>
      </c>
      <c r="X6" s="12">
        <v>131224</v>
      </c>
      <c r="Y6" s="31">
        <v>179449</v>
      </c>
      <c r="Z6" s="870">
        <v>12468</v>
      </c>
      <c r="AA6" s="867">
        <v>22729</v>
      </c>
      <c r="AB6" s="12">
        <v>46653</v>
      </c>
      <c r="AC6" s="31">
        <v>59215</v>
      </c>
      <c r="AD6" s="14">
        <v>46589</v>
      </c>
      <c r="AE6" s="856">
        <v>28622</v>
      </c>
      <c r="AF6" s="12">
        <v>153336</v>
      </c>
      <c r="AG6" s="31">
        <v>142483</v>
      </c>
      <c r="AH6" s="14">
        <v>63834</v>
      </c>
      <c r="AI6" s="31">
        <v>37612</v>
      </c>
      <c r="AJ6" s="155">
        <v>1749</v>
      </c>
      <c r="AK6" s="872">
        <v>2605</v>
      </c>
      <c r="AL6" s="1"/>
      <c r="AM6" s="3"/>
      <c r="AN6" s="10">
        <v>350145</v>
      </c>
      <c r="AO6" s="880">
        <v>434285</v>
      </c>
      <c r="AP6" s="16">
        <v>526</v>
      </c>
      <c r="AQ6" s="875">
        <v>399</v>
      </c>
      <c r="AR6" s="17">
        <v>32211</v>
      </c>
      <c r="AS6" s="882">
        <v>34364</v>
      </c>
      <c r="AT6" s="12">
        <v>95185</v>
      </c>
      <c r="AU6" s="31">
        <v>60036</v>
      </c>
      <c r="AV6" s="248">
        <f t="shared" si="0"/>
        <v>1289197</v>
      </c>
      <c r="AW6" s="858">
        <f t="shared" si="1"/>
        <v>1369578</v>
      </c>
      <c r="AX6" s="168"/>
      <c r="AY6" s="772">
        <v>91906</v>
      </c>
      <c r="AZ6" s="248">
        <f t="shared" si="2"/>
        <v>1289197</v>
      </c>
      <c r="BA6" s="37">
        <f t="shared" si="3"/>
        <v>1461484</v>
      </c>
    </row>
    <row r="7" spans="1:54" ht="15" x14ac:dyDescent="0.3">
      <c r="A7" s="28" t="s">
        <v>5</v>
      </c>
      <c r="B7" s="39"/>
      <c r="C7" s="862">
        <v>16</v>
      </c>
      <c r="D7" s="14">
        <v>191</v>
      </c>
      <c r="E7" s="856">
        <v>198</v>
      </c>
      <c r="F7" s="12"/>
      <c r="G7" s="31">
        <v>632</v>
      </c>
      <c r="H7" s="14">
        <v>15628</v>
      </c>
      <c r="I7" s="856">
        <v>17621</v>
      </c>
      <c r="J7" s="12">
        <v>7882</v>
      </c>
      <c r="K7" s="31">
        <v>6076</v>
      </c>
      <c r="L7" s="12">
        <v>189</v>
      </c>
      <c r="M7" s="15">
        <v>339</v>
      </c>
      <c r="N7" s="14">
        <v>580</v>
      </c>
      <c r="O7" s="856">
        <v>1098</v>
      </c>
      <c r="P7" s="12">
        <v>2574</v>
      </c>
      <c r="Q7" s="31">
        <v>1641</v>
      </c>
      <c r="R7" s="14">
        <v>1295</v>
      </c>
      <c r="S7" s="856">
        <v>6617</v>
      </c>
      <c r="T7" s="12">
        <v>868</v>
      </c>
      <c r="U7" s="31">
        <v>227</v>
      </c>
      <c r="V7" s="12">
        <v>20182</v>
      </c>
      <c r="W7" s="31">
        <v>27225</v>
      </c>
      <c r="X7" s="12">
        <v>14973</v>
      </c>
      <c r="Y7" s="31">
        <v>11657</v>
      </c>
      <c r="Z7" s="870"/>
      <c r="AA7" s="867"/>
      <c r="AB7" s="12">
        <v>2242</v>
      </c>
      <c r="AC7" s="31">
        <v>6195</v>
      </c>
      <c r="AD7" s="14">
        <v>2215</v>
      </c>
      <c r="AE7" s="856">
        <v>287</v>
      </c>
      <c r="AF7" s="12">
        <v>2211</v>
      </c>
      <c r="AG7" s="31">
        <v>3819</v>
      </c>
      <c r="AH7" s="14">
        <v>651</v>
      </c>
      <c r="AI7" s="31">
        <v>27</v>
      </c>
      <c r="AJ7" s="155">
        <v>4736</v>
      </c>
      <c r="AK7" s="872">
        <v>9538</v>
      </c>
      <c r="AL7" s="1"/>
      <c r="AM7" s="3"/>
      <c r="AN7" s="10">
        <v>24654</v>
      </c>
      <c r="AO7" s="880">
        <v>13168</v>
      </c>
      <c r="AP7" s="16">
        <v>44056</v>
      </c>
      <c r="AQ7" s="875">
        <v>70234</v>
      </c>
      <c r="AR7" s="17"/>
      <c r="AS7" s="882"/>
      <c r="AT7" s="12">
        <v>2663</v>
      </c>
      <c r="AU7" s="31">
        <v>1476</v>
      </c>
      <c r="AV7" s="248">
        <f t="shared" si="0"/>
        <v>147790</v>
      </c>
      <c r="AW7" s="858">
        <f t="shared" si="1"/>
        <v>178091</v>
      </c>
      <c r="AX7" s="168"/>
      <c r="AY7" s="772">
        <v>11757</v>
      </c>
      <c r="AZ7" s="248">
        <f t="shared" si="2"/>
        <v>147790</v>
      </c>
      <c r="BA7" s="37">
        <f t="shared" si="3"/>
        <v>189848</v>
      </c>
    </row>
    <row r="8" spans="1:54" ht="15" x14ac:dyDescent="0.3">
      <c r="A8" s="28" t="s">
        <v>6</v>
      </c>
      <c r="B8" s="39"/>
      <c r="C8" s="862">
        <v>588</v>
      </c>
      <c r="D8" s="14">
        <v>508</v>
      </c>
      <c r="E8" s="856">
        <v>272</v>
      </c>
      <c r="F8" s="12"/>
      <c r="G8" s="31">
        <v>223</v>
      </c>
      <c r="H8" s="14">
        <v>5212</v>
      </c>
      <c r="I8" s="856">
        <v>6874</v>
      </c>
      <c r="J8" s="12">
        <v>7714</v>
      </c>
      <c r="K8" s="31">
        <v>20120</v>
      </c>
      <c r="L8" s="12">
        <v>1324</v>
      </c>
      <c r="M8" s="15"/>
      <c r="N8" s="14">
        <v>-6</v>
      </c>
      <c r="O8" s="856">
        <v>-17</v>
      </c>
      <c r="P8" s="12">
        <v>1992</v>
      </c>
      <c r="Q8" s="31">
        <v>727</v>
      </c>
      <c r="R8" s="14">
        <v>16120</v>
      </c>
      <c r="S8" s="856">
        <v>29801</v>
      </c>
      <c r="T8" s="12">
        <v>98</v>
      </c>
      <c r="U8" s="31">
        <v>824</v>
      </c>
      <c r="V8" s="12">
        <v>16138</v>
      </c>
      <c r="W8" s="31">
        <v>28557</v>
      </c>
      <c r="X8" s="12">
        <v>13101</v>
      </c>
      <c r="Y8" s="31">
        <v>19650</v>
      </c>
      <c r="Z8" s="870">
        <v>208</v>
      </c>
      <c r="AA8" s="867">
        <v>-3</v>
      </c>
      <c r="AB8" s="12">
        <v>608</v>
      </c>
      <c r="AC8" s="31">
        <v>1333</v>
      </c>
      <c r="AD8" s="14">
        <v>2249</v>
      </c>
      <c r="AE8" s="856">
        <v>2994</v>
      </c>
      <c r="AF8" s="12">
        <v>1107</v>
      </c>
      <c r="AG8" s="31">
        <v>-14</v>
      </c>
      <c r="AH8" s="14">
        <v>4056</v>
      </c>
      <c r="AI8" s="31">
        <v>638</v>
      </c>
      <c r="AJ8" s="155">
        <v>3225</v>
      </c>
      <c r="AK8" s="872">
        <v>7378</v>
      </c>
      <c r="AL8" s="1"/>
      <c r="AM8" s="3"/>
      <c r="AN8" s="251">
        <v>64</v>
      </c>
      <c r="AO8" s="880">
        <v>54</v>
      </c>
      <c r="AP8" s="16">
        <v>12907</v>
      </c>
      <c r="AQ8" s="875">
        <v>2669</v>
      </c>
      <c r="AR8" s="17">
        <v>-1</v>
      </c>
      <c r="AS8" s="882">
        <v>-1</v>
      </c>
      <c r="AT8" s="12">
        <v>13744</v>
      </c>
      <c r="AU8" s="31">
        <v>8826</v>
      </c>
      <c r="AV8" s="248">
        <f t="shared" si="0"/>
        <v>100368</v>
      </c>
      <c r="AW8" s="858">
        <f t="shared" si="1"/>
        <v>131493</v>
      </c>
      <c r="AX8" s="168"/>
      <c r="AY8" s="772">
        <v>625</v>
      </c>
      <c r="AZ8" s="248">
        <f t="shared" si="2"/>
        <v>100368</v>
      </c>
      <c r="BA8" s="37">
        <f t="shared" si="3"/>
        <v>132118</v>
      </c>
    </row>
    <row r="9" spans="1:54" ht="15" x14ac:dyDescent="0.3">
      <c r="A9" s="28" t="s">
        <v>7</v>
      </c>
      <c r="B9" s="39"/>
      <c r="C9" s="862">
        <v>500</v>
      </c>
      <c r="D9" s="14"/>
      <c r="E9" s="856"/>
      <c r="F9" s="12"/>
      <c r="G9" s="31"/>
      <c r="H9" s="14"/>
      <c r="I9" s="856"/>
      <c r="J9" s="12"/>
      <c r="K9" s="31"/>
      <c r="L9" s="12"/>
      <c r="M9" s="15"/>
      <c r="N9" s="14"/>
      <c r="O9" s="856"/>
      <c r="P9" s="12">
        <v>6</v>
      </c>
      <c r="Q9" s="31">
        <v>434</v>
      </c>
      <c r="R9" s="14"/>
      <c r="S9" s="856"/>
      <c r="T9" s="12"/>
      <c r="U9" s="31"/>
      <c r="V9" s="12"/>
      <c r="W9" s="31"/>
      <c r="X9" s="12"/>
      <c r="Y9" s="31"/>
      <c r="Z9" s="870"/>
      <c r="AA9" s="867"/>
      <c r="AB9" s="12"/>
      <c r="AC9" s="31"/>
      <c r="AD9" s="514">
        <v>538</v>
      </c>
      <c r="AE9" s="856">
        <v>1511</v>
      </c>
      <c r="AF9" s="12"/>
      <c r="AG9" s="31"/>
      <c r="AH9" s="14"/>
      <c r="AI9" s="31"/>
      <c r="AJ9" s="155"/>
      <c r="AK9" s="872"/>
      <c r="AL9" s="1"/>
      <c r="AM9" s="3"/>
      <c r="AN9" s="842"/>
      <c r="AO9" s="880"/>
      <c r="AP9" s="16"/>
      <c r="AQ9" s="875"/>
      <c r="AR9" s="17"/>
      <c r="AS9" s="882"/>
      <c r="AT9" s="12">
        <v>3994</v>
      </c>
      <c r="AU9" s="31">
        <v>36503</v>
      </c>
      <c r="AV9" s="248">
        <f t="shared" si="0"/>
        <v>4538</v>
      </c>
      <c r="AW9" s="858">
        <f t="shared" si="1"/>
        <v>38948</v>
      </c>
      <c r="AX9" s="12"/>
      <c r="AY9" s="772">
        <v>299672</v>
      </c>
      <c r="AZ9" s="32">
        <f t="shared" si="2"/>
        <v>4538</v>
      </c>
      <c r="BA9" s="519">
        <f t="shared" si="3"/>
        <v>338620</v>
      </c>
    </row>
    <row r="10" spans="1:54" ht="15" x14ac:dyDescent="0.3">
      <c r="A10" s="28" t="s">
        <v>15</v>
      </c>
      <c r="B10" s="39"/>
      <c r="C10" s="862"/>
      <c r="D10" s="14"/>
      <c r="E10" s="856"/>
      <c r="F10" s="12"/>
      <c r="G10" s="31"/>
      <c r="H10" s="14"/>
      <c r="I10" s="856"/>
      <c r="J10" s="12"/>
      <c r="K10" s="31"/>
      <c r="L10" s="12"/>
      <c r="M10" s="15"/>
      <c r="N10" s="14"/>
      <c r="O10" s="856"/>
      <c r="P10" s="12"/>
      <c r="Q10" s="31"/>
      <c r="R10" s="14"/>
      <c r="S10" s="856"/>
      <c r="T10" s="12"/>
      <c r="U10" s="31"/>
      <c r="V10" s="12"/>
      <c r="W10" s="31"/>
      <c r="X10" s="12"/>
      <c r="Y10" s="31"/>
      <c r="Z10" s="14"/>
      <c r="AA10" s="867"/>
      <c r="AB10" s="12">
        <v>11606</v>
      </c>
      <c r="AC10" s="31">
        <v>14577</v>
      </c>
      <c r="AD10" s="14"/>
      <c r="AE10" s="856"/>
      <c r="AF10" s="12"/>
      <c r="AG10" s="31"/>
      <c r="AH10" s="14"/>
      <c r="AI10" s="31"/>
      <c r="AJ10" s="155"/>
      <c r="AK10" s="872"/>
      <c r="AL10" s="1"/>
      <c r="AM10" s="3"/>
      <c r="AN10" s="842"/>
      <c r="AO10" s="880"/>
      <c r="AP10" s="16"/>
      <c r="AQ10" s="875"/>
      <c r="AR10" s="17"/>
      <c r="AS10" s="882"/>
      <c r="AT10" s="12"/>
      <c r="AU10" s="31"/>
      <c r="AV10" s="248">
        <f t="shared" si="0"/>
        <v>11606</v>
      </c>
      <c r="AW10" s="858">
        <f t="shared" si="1"/>
        <v>14577</v>
      </c>
      <c r="AX10" s="168"/>
      <c r="AY10" s="772"/>
      <c r="AZ10" s="248">
        <f t="shared" si="2"/>
        <v>11606</v>
      </c>
      <c r="BA10" s="37">
        <f t="shared" si="3"/>
        <v>14577</v>
      </c>
    </row>
    <row r="11" spans="1:54" ht="15" x14ac:dyDescent="0.3">
      <c r="A11" s="28" t="s">
        <v>8</v>
      </c>
      <c r="B11" s="39"/>
      <c r="C11" s="862">
        <v>5316</v>
      </c>
      <c r="D11" s="14">
        <v>7999</v>
      </c>
      <c r="E11" s="856">
        <v>12941</v>
      </c>
      <c r="F11" s="12"/>
      <c r="G11" s="31">
        <v>2915</v>
      </c>
      <c r="H11" s="14">
        <v>13740</v>
      </c>
      <c r="I11" s="856">
        <v>8443</v>
      </c>
      <c r="J11" s="12">
        <v>6409</v>
      </c>
      <c r="K11" s="31">
        <v>13044</v>
      </c>
      <c r="L11" s="12">
        <v>7248</v>
      </c>
      <c r="M11" s="15">
        <v>3301</v>
      </c>
      <c r="N11" s="14">
        <v>7141</v>
      </c>
      <c r="O11" s="856">
        <v>10918</v>
      </c>
      <c r="P11" s="12">
        <v>7299</v>
      </c>
      <c r="Q11" s="31">
        <v>9965</v>
      </c>
      <c r="R11" s="14">
        <v>4104</v>
      </c>
      <c r="S11" s="856">
        <v>3823</v>
      </c>
      <c r="T11" s="12">
        <v>14347</v>
      </c>
      <c r="U11" s="31">
        <v>12723</v>
      </c>
      <c r="V11" s="12">
        <v>123055</v>
      </c>
      <c r="W11" s="31">
        <v>120023</v>
      </c>
      <c r="X11" s="12">
        <v>30299</v>
      </c>
      <c r="Y11" s="31">
        <v>37515</v>
      </c>
      <c r="Z11" s="14">
        <v>1195</v>
      </c>
      <c r="AA11" s="867">
        <v>272</v>
      </c>
      <c r="AB11" s="12">
        <v>9882</v>
      </c>
      <c r="AC11" s="31">
        <v>3142</v>
      </c>
      <c r="AD11" s="14">
        <v>45083</v>
      </c>
      <c r="AE11" s="856">
        <v>27858</v>
      </c>
      <c r="AF11" s="12">
        <v>65605</v>
      </c>
      <c r="AG11" s="31">
        <v>48085</v>
      </c>
      <c r="AH11" s="14">
        <v>18141</v>
      </c>
      <c r="AI11" s="31">
        <v>16567</v>
      </c>
      <c r="AJ11" s="155">
        <v>42942</v>
      </c>
      <c r="AK11" s="872">
        <v>30469</v>
      </c>
      <c r="AL11" s="1"/>
      <c r="AM11" s="3"/>
      <c r="AN11" s="10">
        <v>5909</v>
      </c>
      <c r="AO11" s="880">
        <v>5608</v>
      </c>
      <c r="AP11" s="16">
        <v>39522</v>
      </c>
      <c r="AQ11" s="875">
        <v>39816</v>
      </c>
      <c r="AR11" s="17">
        <v>1003</v>
      </c>
      <c r="AS11" s="882">
        <v>674</v>
      </c>
      <c r="AT11" s="12">
        <v>10073</v>
      </c>
      <c r="AU11" s="31">
        <v>12493</v>
      </c>
      <c r="AV11" s="248">
        <f t="shared" si="0"/>
        <v>460996</v>
      </c>
      <c r="AW11" s="858">
        <f t="shared" si="1"/>
        <v>425911</v>
      </c>
      <c r="AX11" s="168"/>
      <c r="AY11" s="772">
        <v>30328</v>
      </c>
      <c r="AZ11" s="248">
        <f t="shared" si="2"/>
        <v>460996</v>
      </c>
      <c r="BA11" s="37">
        <f t="shared" si="3"/>
        <v>456239</v>
      </c>
    </row>
    <row r="12" spans="1:54" ht="15" x14ac:dyDescent="0.3">
      <c r="A12" s="28" t="s">
        <v>16</v>
      </c>
      <c r="B12" s="39"/>
      <c r="C12" s="863"/>
      <c r="D12" s="14"/>
      <c r="E12" s="693"/>
      <c r="F12" s="12"/>
      <c r="G12" s="15"/>
      <c r="H12" s="14">
        <v>6163</v>
      </c>
      <c r="I12" s="856"/>
      <c r="J12" s="12"/>
      <c r="K12" s="15"/>
      <c r="L12" s="12"/>
      <c r="M12" s="15"/>
      <c r="N12" s="14"/>
      <c r="O12" s="693"/>
      <c r="P12" s="12"/>
      <c r="Q12" s="15"/>
      <c r="R12" s="14">
        <v>5262</v>
      </c>
      <c r="S12" s="856">
        <v>132</v>
      </c>
      <c r="T12" s="12"/>
      <c r="U12" s="15"/>
      <c r="V12" s="12"/>
      <c r="W12" s="31"/>
      <c r="X12" s="12"/>
      <c r="Y12" s="31"/>
      <c r="Z12" s="14"/>
      <c r="AA12" s="867"/>
      <c r="AB12" s="12"/>
      <c r="AC12" s="31"/>
      <c r="AD12" s="14">
        <v>7</v>
      </c>
      <c r="AE12" s="856">
        <v>648</v>
      </c>
      <c r="AF12" s="12"/>
      <c r="AG12" s="31"/>
      <c r="AH12" s="14"/>
      <c r="AI12" s="31"/>
      <c r="AJ12" s="155"/>
      <c r="AK12" s="872"/>
      <c r="AL12" s="1"/>
      <c r="AM12" s="3"/>
      <c r="AN12" s="10"/>
      <c r="AO12" s="880"/>
      <c r="AP12" s="16"/>
      <c r="AQ12" s="875"/>
      <c r="AR12" s="17"/>
      <c r="AS12" s="882"/>
      <c r="AT12" s="12"/>
      <c r="AU12" s="31"/>
      <c r="AV12" s="248">
        <f t="shared" si="0"/>
        <v>11432</v>
      </c>
      <c r="AW12" s="858">
        <f t="shared" si="1"/>
        <v>780</v>
      </c>
      <c r="AX12" s="168"/>
      <c r="AY12" s="772"/>
      <c r="AZ12" s="248">
        <f t="shared" si="2"/>
        <v>11432</v>
      </c>
      <c r="BA12" s="37">
        <f t="shared" si="3"/>
        <v>780</v>
      </c>
    </row>
    <row r="13" spans="1:54" ht="15" x14ac:dyDescent="0.3">
      <c r="A13" s="28" t="s">
        <v>17</v>
      </c>
      <c r="B13" s="39"/>
      <c r="C13" s="863"/>
      <c r="D13" s="14">
        <v>3</v>
      </c>
      <c r="E13" s="693"/>
      <c r="F13" s="12"/>
      <c r="G13" s="15"/>
      <c r="H13" s="14"/>
      <c r="I13" s="856"/>
      <c r="J13" s="12"/>
      <c r="K13" s="15"/>
      <c r="L13" s="12"/>
      <c r="M13" s="15"/>
      <c r="N13" s="14"/>
      <c r="O13" s="693"/>
      <c r="P13" s="12"/>
      <c r="Q13" s="15"/>
      <c r="R13" s="14"/>
      <c r="S13" s="856"/>
      <c r="T13" s="12"/>
      <c r="U13" s="15"/>
      <c r="V13" s="12">
        <v>96</v>
      </c>
      <c r="W13" s="31">
        <v>119</v>
      </c>
      <c r="X13" s="12">
        <v>370</v>
      </c>
      <c r="Y13" s="31">
        <v>324</v>
      </c>
      <c r="Z13" s="14"/>
      <c r="AA13" s="867"/>
      <c r="AB13" s="12"/>
      <c r="AC13" s="31"/>
      <c r="AD13" s="14"/>
      <c r="AE13" s="856"/>
      <c r="AF13" s="12"/>
      <c r="AG13" s="31"/>
      <c r="AH13" s="14"/>
      <c r="AI13" s="31"/>
      <c r="AJ13" s="155"/>
      <c r="AK13" s="872"/>
      <c r="AL13" s="1"/>
      <c r="AM13" s="3"/>
      <c r="AN13" s="10"/>
      <c r="AO13" s="880"/>
      <c r="AP13" s="16"/>
      <c r="AQ13" s="875"/>
      <c r="AR13" s="17"/>
      <c r="AS13" s="882"/>
      <c r="AT13" s="12"/>
      <c r="AU13" s="31"/>
      <c r="AV13" s="248">
        <f t="shared" si="0"/>
        <v>469</v>
      </c>
      <c r="AW13" s="858">
        <f t="shared" si="1"/>
        <v>443</v>
      </c>
      <c r="AX13" s="168"/>
      <c r="AY13" s="772">
        <v>1239</v>
      </c>
      <c r="AZ13" s="248">
        <f t="shared" si="2"/>
        <v>469</v>
      </c>
      <c r="BA13" s="37">
        <f t="shared" si="3"/>
        <v>1682</v>
      </c>
    </row>
    <row r="14" spans="1:54" ht="15" x14ac:dyDescent="0.3">
      <c r="A14" s="28" t="s">
        <v>18</v>
      </c>
      <c r="B14" s="39"/>
      <c r="C14" s="863"/>
      <c r="D14" s="14"/>
      <c r="E14" s="693"/>
      <c r="F14" s="12"/>
      <c r="G14" s="15"/>
      <c r="H14" s="14">
        <v>2835</v>
      </c>
      <c r="I14" s="856">
        <v>9594</v>
      </c>
      <c r="J14" s="12"/>
      <c r="K14" s="15"/>
      <c r="L14" s="12"/>
      <c r="M14" s="15"/>
      <c r="N14" s="14"/>
      <c r="O14" s="693"/>
      <c r="P14" s="12"/>
      <c r="Q14" s="15"/>
      <c r="R14" s="14"/>
      <c r="S14" s="693"/>
      <c r="T14" s="12"/>
      <c r="U14" s="15"/>
      <c r="V14" s="12"/>
      <c r="W14" s="31"/>
      <c r="X14" s="12">
        <v>13475</v>
      </c>
      <c r="Y14" s="31">
        <v>16094</v>
      </c>
      <c r="Z14" s="14"/>
      <c r="AA14" s="867"/>
      <c r="AB14" s="12"/>
      <c r="AC14" s="31"/>
      <c r="AD14" s="14"/>
      <c r="AE14" s="856"/>
      <c r="AF14" s="12"/>
      <c r="AG14" s="31"/>
      <c r="AH14" s="14"/>
      <c r="AI14" s="31"/>
      <c r="AJ14" s="155"/>
      <c r="AK14" s="872"/>
      <c r="AL14" s="1"/>
      <c r="AM14" s="3"/>
      <c r="AN14" s="10"/>
      <c r="AO14" s="880"/>
      <c r="AP14" s="16"/>
      <c r="AQ14" s="875"/>
      <c r="AR14" s="17"/>
      <c r="AS14" s="882"/>
      <c r="AT14" s="12"/>
      <c r="AU14" s="31"/>
      <c r="AV14" s="248">
        <f t="shared" si="0"/>
        <v>16310</v>
      </c>
      <c r="AW14" s="858">
        <f t="shared" si="1"/>
        <v>25688</v>
      </c>
      <c r="AX14" s="168"/>
      <c r="AY14" s="772"/>
      <c r="AZ14" s="248">
        <f t="shared" si="2"/>
        <v>16310</v>
      </c>
      <c r="BA14" s="37">
        <f t="shared" si="3"/>
        <v>25688</v>
      </c>
    </row>
    <row r="15" spans="1:54" ht="15.75" thickBot="1" x14ac:dyDescent="0.35">
      <c r="A15" s="28" t="s">
        <v>19</v>
      </c>
      <c r="B15" s="462"/>
      <c r="C15" s="864"/>
      <c r="D15" s="463"/>
      <c r="E15" s="860"/>
      <c r="F15" s="465"/>
      <c r="G15" s="464"/>
      <c r="H15" s="463">
        <v>21452</v>
      </c>
      <c r="I15" s="860">
        <v>3930</v>
      </c>
      <c r="J15" s="465"/>
      <c r="K15" s="464"/>
      <c r="L15" s="465"/>
      <c r="M15" s="464"/>
      <c r="N15" s="463"/>
      <c r="O15" s="860"/>
      <c r="P15" s="465">
        <v>734</v>
      </c>
      <c r="Q15" s="464">
        <v>225</v>
      </c>
      <c r="R15" s="463"/>
      <c r="S15" s="860"/>
      <c r="T15" s="465"/>
      <c r="U15" s="464"/>
      <c r="V15" s="465">
        <v>5842</v>
      </c>
      <c r="W15" s="31">
        <v>17877</v>
      </c>
      <c r="X15" s="465">
        <v>8189</v>
      </c>
      <c r="Y15" s="31">
        <v>16704</v>
      </c>
      <c r="Z15" s="463"/>
      <c r="AA15" s="867"/>
      <c r="AB15" s="465"/>
      <c r="AC15" s="31"/>
      <c r="AD15" s="463"/>
      <c r="AE15" s="856"/>
      <c r="AF15" s="465"/>
      <c r="AG15" s="31"/>
      <c r="AH15" s="463">
        <v>9212</v>
      </c>
      <c r="AI15" s="31">
        <v>5</v>
      </c>
      <c r="AJ15" s="164">
        <v>148</v>
      </c>
      <c r="AK15" s="872">
        <v>106</v>
      </c>
      <c r="AL15" s="207"/>
      <c r="AM15" s="211"/>
      <c r="AN15" s="885"/>
      <c r="AO15" s="881"/>
      <c r="AP15" s="466">
        <v>77</v>
      </c>
      <c r="AQ15" s="875"/>
      <c r="AR15" s="467"/>
      <c r="AS15" s="882"/>
      <c r="AT15" s="465">
        <v>15143</v>
      </c>
      <c r="AU15" s="31">
        <v>15128</v>
      </c>
      <c r="AV15" s="248">
        <f t="shared" si="0"/>
        <v>60797</v>
      </c>
      <c r="AW15" s="858">
        <f t="shared" si="1"/>
        <v>53975</v>
      </c>
      <c r="AX15" s="468"/>
      <c r="AY15" s="772"/>
      <c r="AZ15" s="773">
        <f t="shared" si="2"/>
        <v>60797</v>
      </c>
      <c r="BA15" s="469">
        <f t="shared" si="3"/>
        <v>53975</v>
      </c>
    </row>
    <row r="16" spans="1:54" s="282" customFormat="1" ht="15" thickBot="1" x14ac:dyDescent="0.35">
      <c r="A16" s="861" t="s">
        <v>20</v>
      </c>
      <c r="B16" s="470">
        <f t="shared" ref="B16:AG16" si="4">SUM(B5:B15)</f>
        <v>0</v>
      </c>
      <c r="C16" s="475">
        <f t="shared" si="4"/>
        <v>116865</v>
      </c>
      <c r="D16" s="474">
        <f t="shared" si="4"/>
        <v>8711</v>
      </c>
      <c r="E16" s="471">
        <f t="shared" si="4"/>
        <v>13451</v>
      </c>
      <c r="F16" s="470">
        <f t="shared" si="4"/>
        <v>0</v>
      </c>
      <c r="G16" s="475">
        <f t="shared" si="4"/>
        <v>8434</v>
      </c>
      <c r="H16" s="474">
        <f t="shared" si="4"/>
        <v>188687</v>
      </c>
      <c r="I16" s="471">
        <f t="shared" si="4"/>
        <v>129940</v>
      </c>
      <c r="J16" s="470">
        <f t="shared" si="4"/>
        <v>48091</v>
      </c>
      <c r="K16" s="475">
        <f t="shared" si="4"/>
        <v>117767</v>
      </c>
      <c r="L16" s="470">
        <f t="shared" si="4"/>
        <v>70207</v>
      </c>
      <c r="M16" s="475">
        <f t="shared" si="4"/>
        <v>66728</v>
      </c>
      <c r="N16" s="474">
        <f t="shared" si="4"/>
        <v>12799</v>
      </c>
      <c r="O16" s="471">
        <f t="shared" si="4"/>
        <v>19881</v>
      </c>
      <c r="P16" s="470">
        <f t="shared" si="4"/>
        <v>35886</v>
      </c>
      <c r="Q16" s="475">
        <f t="shared" si="4"/>
        <v>34926</v>
      </c>
      <c r="R16" s="474">
        <f t="shared" si="4"/>
        <v>61541</v>
      </c>
      <c r="S16" s="471">
        <f t="shared" si="4"/>
        <v>86545</v>
      </c>
      <c r="T16" s="470">
        <f t="shared" si="4"/>
        <v>23340</v>
      </c>
      <c r="U16" s="475">
        <f t="shared" si="4"/>
        <v>26968</v>
      </c>
      <c r="V16" s="470">
        <f t="shared" si="4"/>
        <v>444187</v>
      </c>
      <c r="W16" s="475">
        <f t="shared" si="4"/>
        <v>420359</v>
      </c>
      <c r="X16" s="470">
        <f t="shared" si="4"/>
        <v>276716</v>
      </c>
      <c r="Y16" s="475">
        <f t="shared" si="4"/>
        <v>356935</v>
      </c>
      <c r="Z16" s="474">
        <f t="shared" si="4"/>
        <v>15686</v>
      </c>
      <c r="AA16" s="471">
        <f t="shared" si="4"/>
        <v>26065</v>
      </c>
      <c r="AB16" s="470">
        <f t="shared" si="4"/>
        <v>73161</v>
      </c>
      <c r="AC16" s="475">
        <f t="shared" si="4"/>
        <v>87914</v>
      </c>
      <c r="AD16" s="474">
        <f t="shared" si="4"/>
        <v>137964</v>
      </c>
      <c r="AE16" s="471">
        <f t="shared" si="4"/>
        <v>130492</v>
      </c>
      <c r="AF16" s="470">
        <f t="shared" si="4"/>
        <v>283191</v>
      </c>
      <c r="AG16" s="475">
        <f t="shared" si="4"/>
        <v>264218</v>
      </c>
      <c r="AH16" s="474">
        <f t="shared" ref="AH16:AU16" si="5">SUM(AH5:AH15)</f>
        <v>100181</v>
      </c>
      <c r="AI16" s="475">
        <f t="shared" si="5"/>
        <v>57408</v>
      </c>
      <c r="AJ16" s="474">
        <f t="shared" si="5"/>
        <v>83521</v>
      </c>
      <c r="AK16" s="471">
        <f t="shared" si="5"/>
        <v>102817</v>
      </c>
      <c r="AL16" s="470">
        <f t="shared" si="5"/>
        <v>0</v>
      </c>
      <c r="AM16" s="473">
        <f t="shared" si="5"/>
        <v>0</v>
      </c>
      <c r="AN16" s="877">
        <f t="shared" si="5"/>
        <v>598614</v>
      </c>
      <c r="AO16" s="878">
        <f t="shared" si="5"/>
        <v>699720</v>
      </c>
      <c r="AP16" s="470">
        <f t="shared" si="5"/>
        <v>98856</v>
      </c>
      <c r="AQ16" s="475">
        <f t="shared" si="5"/>
        <v>115829</v>
      </c>
      <c r="AR16" s="470">
        <f t="shared" si="5"/>
        <v>33211</v>
      </c>
      <c r="AS16" s="471">
        <f t="shared" si="5"/>
        <v>35070</v>
      </c>
      <c r="AT16" s="470">
        <f t="shared" si="5"/>
        <v>199491</v>
      </c>
      <c r="AU16" s="475">
        <f t="shared" si="5"/>
        <v>190886</v>
      </c>
      <c r="AV16" s="476">
        <f t="shared" si="0"/>
        <v>2794041</v>
      </c>
      <c r="AW16" s="477">
        <f t="shared" si="1"/>
        <v>3109218</v>
      </c>
      <c r="AX16" s="478">
        <f>SUM(AX5:AX15)</f>
        <v>0</v>
      </c>
      <c r="AY16" s="479">
        <f>SUM(AY5:AY15)</f>
        <v>8503424</v>
      </c>
      <c r="AZ16" s="476">
        <f t="shared" si="2"/>
        <v>2794041</v>
      </c>
      <c r="BA16" s="480">
        <f t="shared" si="3"/>
        <v>11612642</v>
      </c>
    </row>
    <row r="17" spans="1:53" s="535" customFormat="1" ht="15" thickBot="1" x14ac:dyDescent="0.35">
      <c r="A17" s="520" t="s">
        <v>11</v>
      </c>
      <c r="B17" s="521"/>
      <c r="C17" s="865"/>
      <c r="D17" s="522"/>
      <c r="E17" s="857"/>
      <c r="F17" s="524"/>
      <c r="G17" s="523"/>
      <c r="H17" s="522"/>
      <c r="I17" s="857"/>
      <c r="J17" s="524"/>
      <c r="K17" s="523"/>
      <c r="L17" s="524"/>
      <c r="M17" s="523"/>
      <c r="N17" s="522"/>
      <c r="O17" s="866">
        <v>348</v>
      </c>
      <c r="P17" s="527"/>
      <c r="Q17" s="526"/>
      <c r="R17" s="525">
        <v>1703</v>
      </c>
      <c r="S17" s="884">
        <v>4200</v>
      </c>
      <c r="T17" s="527"/>
      <c r="U17" s="526"/>
      <c r="V17" s="527"/>
      <c r="W17" s="526"/>
      <c r="X17" s="527"/>
      <c r="Y17" s="526"/>
      <c r="Z17" s="525"/>
      <c r="AA17" s="868"/>
      <c r="AB17" s="524"/>
      <c r="AC17" s="523"/>
      <c r="AD17" s="522">
        <v>242</v>
      </c>
      <c r="AE17" s="866">
        <v>116</v>
      </c>
      <c r="AF17" s="524"/>
      <c r="AG17" s="523"/>
      <c r="AH17" s="522">
        <v>-1</v>
      </c>
      <c r="AI17" s="871">
        <v>-1</v>
      </c>
      <c r="AJ17" s="522"/>
      <c r="AK17" s="857"/>
      <c r="AL17" s="873"/>
      <c r="AM17" s="528"/>
      <c r="AN17" s="529"/>
      <c r="AO17" s="874"/>
      <c r="AP17" s="876"/>
      <c r="AQ17" s="530"/>
      <c r="AR17" s="531"/>
      <c r="AS17" s="883"/>
      <c r="AT17" s="524"/>
      <c r="AU17" s="523"/>
      <c r="AV17" s="527">
        <f t="shared" si="0"/>
        <v>1944</v>
      </c>
      <c r="AW17" s="859">
        <f t="shared" si="1"/>
        <v>4663</v>
      </c>
      <c r="AX17" s="533"/>
      <c r="AY17" s="532"/>
      <c r="AZ17" s="527">
        <f t="shared" si="2"/>
        <v>1944</v>
      </c>
      <c r="BA17" s="534">
        <f t="shared" si="3"/>
        <v>4663</v>
      </c>
    </row>
    <row r="18" spans="1:53" s="282" customFormat="1" ht="15" thickBot="1" x14ac:dyDescent="0.35">
      <c r="A18" s="861" t="s">
        <v>12</v>
      </c>
      <c r="B18" s="470">
        <f t="shared" ref="B18:AG18" si="6">B16+B17</f>
        <v>0</v>
      </c>
      <c r="C18" s="475">
        <f t="shared" si="6"/>
        <v>116865</v>
      </c>
      <c r="D18" s="474">
        <f t="shared" si="6"/>
        <v>8711</v>
      </c>
      <c r="E18" s="471">
        <f t="shared" si="6"/>
        <v>13451</v>
      </c>
      <c r="F18" s="470">
        <f t="shared" si="6"/>
        <v>0</v>
      </c>
      <c r="G18" s="475">
        <f t="shared" si="6"/>
        <v>8434</v>
      </c>
      <c r="H18" s="474">
        <f t="shared" si="6"/>
        <v>188687</v>
      </c>
      <c r="I18" s="471">
        <f t="shared" si="6"/>
        <v>129940</v>
      </c>
      <c r="J18" s="470">
        <f t="shared" si="6"/>
        <v>48091</v>
      </c>
      <c r="K18" s="475">
        <f t="shared" si="6"/>
        <v>117767</v>
      </c>
      <c r="L18" s="470">
        <f t="shared" si="6"/>
        <v>70207</v>
      </c>
      <c r="M18" s="475">
        <f t="shared" si="6"/>
        <v>66728</v>
      </c>
      <c r="N18" s="474">
        <f t="shared" si="6"/>
        <v>12799</v>
      </c>
      <c r="O18" s="471">
        <f t="shared" si="6"/>
        <v>20229</v>
      </c>
      <c r="P18" s="470">
        <f t="shared" si="6"/>
        <v>35886</v>
      </c>
      <c r="Q18" s="475">
        <f t="shared" si="6"/>
        <v>34926</v>
      </c>
      <c r="R18" s="474">
        <f t="shared" si="6"/>
        <v>63244</v>
      </c>
      <c r="S18" s="471">
        <f t="shared" si="6"/>
        <v>90745</v>
      </c>
      <c r="T18" s="470">
        <f t="shared" si="6"/>
        <v>23340</v>
      </c>
      <c r="U18" s="475">
        <f t="shared" si="6"/>
        <v>26968</v>
      </c>
      <c r="V18" s="470">
        <f t="shared" si="6"/>
        <v>444187</v>
      </c>
      <c r="W18" s="475">
        <f t="shared" si="6"/>
        <v>420359</v>
      </c>
      <c r="X18" s="470">
        <f t="shared" si="6"/>
        <v>276716</v>
      </c>
      <c r="Y18" s="475">
        <f t="shared" si="6"/>
        <v>356935</v>
      </c>
      <c r="Z18" s="474">
        <f t="shared" si="6"/>
        <v>15686</v>
      </c>
      <c r="AA18" s="471">
        <f t="shared" si="6"/>
        <v>26065</v>
      </c>
      <c r="AB18" s="470">
        <f t="shared" si="6"/>
        <v>73161</v>
      </c>
      <c r="AC18" s="475">
        <f t="shared" si="6"/>
        <v>87914</v>
      </c>
      <c r="AD18" s="474">
        <f t="shared" si="6"/>
        <v>138206</v>
      </c>
      <c r="AE18" s="471">
        <f t="shared" si="6"/>
        <v>130608</v>
      </c>
      <c r="AF18" s="470">
        <f t="shared" si="6"/>
        <v>283191</v>
      </c>
      <c r="AG18" s="475">
        <f t="shared" si="6"/>
        <v>264218</v>
      </c>
      <c r="AH18" s="474">
        <f t="shared" ref="AH18:AU18" si="7">AH16+AH17</f>
        <v>100180</v>
      </c>
      <c r="AI18" s="475">
        <f t="shared" si="7"/>
        <v>57407</v>
      </c>
      <c r="AJ18" s="474">
        <f t="shared" si="7"/>
        <v>83521</v>
      </c>
      <c r="AK18" s="471">
        <f t="shared" si="7"/>
        <v>102817</v>
      </c>
      <c r="AL18" s="470">
        <f t="shared" si="7"/>
        <v>0</v>
      </c>
      <c r="AM18" s="473">
        <f t="shared" si="7"/>
        <v>0</v>
      </c>
      <c r="AN18" s="474">
        <f t="shared" si="7"/>
        <v>598614</v>
      </c>
      <c r="AO18" s="538">
        <f t="shared" si="7"/>
        <v>699720</v>
      </c>
      <c r="AP18" s="470">
        <f t="shared" si="7"/>
        <v>98856</v>
      </c>
      <c r="AQ18" s="475">
        <f t="shared" si="7"/>
        <v>115829</v>
      </c>
      <c r="AR18" s="470">
        <f t="shared" si="7"/>
        <v>33211</v>
      </c>
      <c r="AS18" s="471">
        <f t="shared" si="7"/>
        <v>35070</v>
      </c>
      <c r="AT18" s="470">
        <f t="shared" si="7"/>
        <v>199491</v>
      </c>
      <c r="AU18" s="475">
        <f t="shared" si="7"/>
        <v>190886</v>
      </c>
      <c r="AV18" s="476">
        <f t="shared" si="0"/>
        <v>2795985</v>
      </c>
      <c r="AW18" s="477">
        <f t="shared" si="1"/>
        <v>3113881</v>
      </c>
      <c r="AX18" s="476">
        <f>AX16+AX17</f>
        <v>0</v>
      </c>
      <c r="AY18" s="480">
        <f>AY16+AY17</f>
        <v>8503424</v>
      </c>
      <c r="AZ18" s="476">
        <f t="shared" si="2"/>
        <v>2795985</v>
      </c>
      <c r="BA18" s="480">
        <f t="shared" si="3"/>
        <v>11617305</v>
      </c>
    </row>
    <row r="20" spans="1:53" x14ac:dyDescent="0.3">
      <c r="AV20" s="24"/>
    </row>
  </sheetData>
  <mergeCells count="29">
    <mergeCell ref="AR3:AS3"/>
    <mergeCell ref="AB3:AC3"/>
    <mergeCell ref="AD3:AE3"/>
    <mergeCell ref="AF3:AG3"/>
    <mergeCell ref="AH3:AI3"/>
    <mergeCell ref="AJ3:AK3"/>
    <mergeCell ref="AL3:AM3"/>
    <mergeCell ref="AN3:AO3"/>
    <mergeCell ref="AP3:AQ3"/>
    <mergeCell ref="AX3:AY3"/>
    <mergeCell ref="AZ3:BA3"/>
    <mergeCell ref="AV3:AW3"/>
    <mergeCell ref="F3:G3"/>
    <mergeCell ref="D3:E3"/>
    <mergeCell ref="B3:C3"/>
    <mergeCell ref="H3:I3"/>
    <mergeCell ref="J3:K3"/>
    <mergeCell ref="L3:M3"/>
    <mergeCell ref="N3:O3"/>
    <mergeCell ref="AT3:AU3"/>
    <mergeCell ref="A1:AZ1"/>
    <mergeCell ref="A2:AZ2"/>
    <mergeCell ref="A3:A4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BA45"/>
  <sheetViews>
    <sheetView workbookViewId="0">
      <pane xSplit="1" topLeftCell="B1" activePane="topRight" state="frozen"/>
      <selection pane="topRight" activeCell="D3" sqref="D3:E3"/>
    </sheetView>
  </sheetViews>
  <sheetFormatPr defaultRowHeight="14.25" x14ac:dyDescent="0.3"/>
  <cols>
    <col min="1" max="1" width="21" style="24" customWidth="1"/>
    <col min="2" max="11" width="12.85546875" style="24" bestFit="1" customWidth="1"/>
    <col min="12" max="12" width="11.7109375" style="24" bestFit="1" customWidth="1"/>
    <col min="13" max="13" width="12.85546875" style="24" bestFit="1" customWidth="1"/>
    <col min="14" max="14" width="11.7109375" style="24" bestFit="1" customWidth="1"/>
    <col min="15" max="15" width="12.85546875" style="24" bestFit="1" customWidth="1"/>
    <col min="16" max="16" width="11.7109375" style="24" bestFit="1" customWidth="1"/>
    <col min="17" max="17" width="12.85546875" style="24" bestFit="1" customWidth="1"/>
    <col min="18" max="18" width="10.42578125" style="24" customWidth="1"/>
    <col min="19" max="19" width="12.85546875" style="24" bestFit="1" customWidth="1"/>
    <col min="20" max="20" width="11.7109375" style="24" bestFit="1" customWidth="1"/>
    <col min="21" max="24" width="12.85546875" style="24" bestFit="1" customWidth="1"/>
    <col min="25" max="25" width="10.42578125" style="24" customWidth="1"/>
    <col min="26" max="29" width="12.85546875" style="24" bestFit="1" customWidth="1"/>
    <col min="30" max="30" width="9.140625" style="24" customWidth="1"/>
    <col min="31" max="31" width="9.85546875" style="24" customWidth="1"/>
    <col min="32" max="32" width="9.7109375" style="24" customWidth="1"/>
    <col min="33" max="33" width="12.85546875" style="24" bestFit="1" customWidth="1"/>
    <col min="34" max="34" width="10.5703125" style="24" customWidth="1"/>
    <col min="35" max="35" width="10.7109375" style="24" customWidth="1"/>
    <col min="36" max="39" width="12.85546875" style="24" bestFit="1" customWidth="1"/>
    <col min="40" max="41" width="12.85546875" style="172" bestFit="1" customWidth="1"/>
    <col min="42" max="42" width="11.7109375" style="24" bestFit="1" customWidth="1"/>
    <col min="43" max="43" width="12.85546875" style="24" bestFit="1" customWidth="1"/>
    <col min="44" max="44" width="11.7109375" style="24" bestFit="1" customWidth="1"/>
    <col min="45" max="45" width="12.85546875" style="24" bestFit="1" customWidth="1"/>
    <col min="46" max="46" width="11.42578125" style="24" customWidth="1"/>
    <col min="47" max="53" width="12.85546875" style="24" bestFit="1" customWidth="1"/>
    <col min="54" max="16384" width="9.140625" style="24"/>
  </cols>
  <sheetData>
    <row r="1" spans="1:53" x14ac:dyDescent="0.3">
      <c r="A1" s="1191" t="s">
        <v>146</v>
      </c>
      <c r="B1" s="1191"/>
      <c r="C1" s="1191"/>
      <c r="D1" s="1191"/>
      <c r="E1" s="1191"/>
      <c r="F1" s="1191"/>
      <c r="G1" s="1191"/>
      <c r="H1" s="1191"/>
      <c r="I1" s="1191"/>
      <c r="J1" s="1191"/>
      <c r="K1" s="1191"/>
      <c r="L1" s="1191"/>
      <c r="M1" s="1191"/>
      <c r="N1" s="1191"/>
      <c r="O1" s="1191"/>
      <c r="P1" s="1191"/>
      <c r="Q1" s="1191"/>
      <c r="R1" s="1191"/>
      <c r="S1" s="1191"/>
      <c r="T1" s="1191"/>
      <c r="U1" s="1191"/>
      <c r="V1" s="1191"/>
      <c r="W1" s="1191"/>
      <c r="X1" s="1191"/>
      <c r="Y1" s="1191"/>
      <c r="Z1" s="1191"/>
      <c r="AA1" s="1191"/>
      <c r="AB1" s="1191"/>
      <c r="AC1" s="1191"/>
      <c r="AD1" s="1191"/>
      <c r="AE1" s="1191"/>
      <c r="AF1" s="1191"/>
      <c r="AG1" s="1191"/>
      <c r="AH1" s="1191"/>
      <c r="AI1" s="1191"/>
      <c r="AJ1" s="1191"/>
      <c r="AK1" s="1191"/>
      <c r="AL1" s="1191"/>
      <c r="AM1" s="1191"/>
      <c r="AN1" s="1191"/>
      <c r="AO1" s="1191"/>
      <c r="AP1" s="1191"/>
      <c r="AQ1" s="1191"/>
      <c r="AR1" s="1191"/>
      <c r="AS1" s="1191"/>
      <c r="AT1" s="1191"/>
      <c r="AU1" s="1191"/>
      <c r="AV1" s="1191"/>
      <c r="AW1" s="1191"/>
      <c r="AX1" s="1191"/>
      <c r="AY1" s="1191"/>
      <c r="AZ1" s="1191"/>
    </row>
    <row r="2" spans="1:53" ht="16.5" thickBot="1" x14ac:dyDescent="0.4">
      <c r="A2" s="1192" t="s">
        <v>147</v>
      </c>
      <c r="B2" s="1192"/>
      <c r="C2" s="1192"/>
      <c r="D2" s="1192"/>
      <c r="E2" s="1192"/>
      <c r="F2" s="1192"/>
      <c r="G2" s="1192"/>
      <c r="H2" s="1192"/>
      <c r="I2" s="1192"/>
      <c r="J2" s="1192"/>
      <c r="K2" s="1192"/>
      <c r="L2" s="1192"/>
      <c r="M2" s="1192"/>
      <c r="N2" s="1192"/>
      <c r="O2" s="1192"/>
      <c r="P2" s="1192"/>
      <c r="Q2" s="1192"/>
      <c r="R2" s="1192"/>
      <c r="S2" s="1192"/>
      <c r="T2" s="1192"/>
      <c r="U2" s="1192"/>
      <c r="V2" s="1192"/>
      <c r="W2" s="1192"/>
      <c r="X2" s="1192"/>
      <c r="Y2" s="1192"/>
      <c r="Z2" s="1192"/>
      <c r="AA2" s="1192"/>
      <c r="AB2" s="1192"/>
      <c r="AC2" s="1192"/>
      <c r="AD2" s="1192"/>
      <c r="AE2" s="1192"/>
      <c r="AF2" s="1192"/>
      <c r="AG2" s="1192"/>
      <c r="AH2" s="1192"/>
      <c r="AI2" s="1192"/>
      <c r="AJ2" s="1192"/>
      <c r="AK2" s="1192"/>
      <c r="AL2" s="1192"/>
      <c r="AM2" s="1192"/>
      <c r="AN2" s="1192"/>
      <c r="AO2" s="1192"/>
      <c r="AP2" s="1192"/>
      <c r="AQ2" s="1192"/>
      <c r="AR2" s="1192"/>
      <c r="AS2" s="1192"/>
      <c r="AT2" s="1192"/>
      <c r="AU2" s="1192"/>
      <c r="AV2" s="1192"/>
      <c r="AW2" s="1192"/>
      <c r="AX2" s="1192"/>
      <c r="AY2" s="1192"/>
      <c r="AZ2" s="1192"/>
    </row>
    <row r="3" spans="1:53" ht="41.25" customHeight="1" thickBot="1" x14ac:dyDescent="0.35">
      <c r="A3" s="1193" t="s">
        <v>0</v>
      </c>
      <c r="B3" s="1195" t="s">
        <v>153</v>
      </c>
      <c r="C3" s="1196"/>
      <c r="D3" s="1197" t="s">
        <v>154</v>
      </c>
      <c r="E3" s="1198"/>
      <c r="F3" s="1184" t="s">
        <v>155</v>
      </c>
      <c r="G3" s="1185"/>
      <c r="H3" s="1197" t="s">
        <v>156</v>
      </c>
      <c r="I3" s="1203"/>
      <c r="J3" s="1184" t="s">
        <v>157</v>
      </c>
      <c r="K3" s="1186"/>
      <c r="L3" s="1185" t="s">
        <v>158</v>
      </c>
      <c r="M3" s="1185"/>
      <c r="N3" s="1184" t="s">
        <v>291</v>
      </c>
      <c r="O3" s="1186"/>
      <c r="P3" s="1184" t="s">
        <v>159</v>
      </c>
      <c r="Q3" s="1186"/>
      <c r="R3" s="1184" t="s">
        <v>160</v>
      </c>
      <c r="S3" s="1186"/>
      <c r="T3" s="1185" t="s">
        <v>161</v>
      </c>
      <c r="U3" s="1185"/>
      <c r="V3" s="1184" t="s">
        <v>162</v>
      </c>
      <c r="W3" s="1186"/>
      <c r="X3" s="1185" t="s">
        <v>163</v>
      </c>
      <c r="Y3" s="1185"/>
      <c r="Z3" s="1184" t="s">
        <v>164</v>
      </c>
      <c r="AA3" s="1185"/>
      <c r="AB3" s="1187" t="s">
        <v>165</v>
      </c>
      <c r="AC3" s="1188"/>
      <c r="AD3" s="1189" t="s">
        <v>166</v>
      </c>
      <c r="AE3" s="1190"/>
      <c r="AF3" s="1184" t="s">
        <v>167</v>
      </c>
      <c r="AG3" s="1185"/>
      <c r="AH3" s="1184" t="s">
        <v>168</v>
      </c>
      <c r="AI3" s="1185"/>
      <c r="AJ3" s="1184" t="s">
        <v>169</v>
      </c>
      <c r="AK3" s="1185"/>
      <c r="AL3" s="1189" t="s">
        <v>170</v>
      </c>
      <c r="AM3" s="1190"/>
      <c r="AN3" s="1204" t="s">
        <v>171</v>
      </c>
      <c r="AO3" s="1205"/>
      <c r="AP3" s="1184" t="s">
        <v>172</v>
      </c>
      <c r="AQ3" s="1185"/>
      <c r="AR3" s="1184" t="s">
        <v>173</v>
      </c>
      <c r="AS3" s="1185"/>
      <c r="AT3" s="1187" t="s">
        <v>174</v>
      </c>
      <c r="AU3" s="1188"/>
      <c r="AV3" s="1197" t="s">
        <v>1</v>
      </c>
      <c r="AW3" s="1198"/>
      <c r="AX3" s="1199" t="s">
        <v>175</v>
      </c>
      <c r="AY3" s="1200"/>
      <c r="AZ3" s="1201" t="s">
        <v>2</v>
      </c>
      <c r="BA3" s="1202"/>
    </row>
    <row r="4" spans="1:53" s="352" customFormat="1" ht="15" customHeight="1" thickBot="1" x14ac:dyDescent="0.35">
      <c r="A4" s="1194"/>
      <c r="B4" s="360" t="s">
        <v>290</v>
      </c>
      <c r="C4" s="362" t="s">
        <v>279</v>
      </c>
      <c r="D4" s="360" t="s">
        <v>290</v>
      </c>
      <c r="E4" s="362" t="s">
        <v>279</v>
      </c>
      <c r="F4" s="361" t="s">
        <v>290</v>
      </c>
      <c r="G4" s="362" t="s">
        <v>279</v>
      </c>
      <c r="H4" s="361" t="s">
        <v>290</v>
      </c>
      <c r="I4" s="361" t="s">
        <v>279</v>
      </c>
      <c r="J4" s="360" t="s">
        <v>290</v>
      </c>
      <c r="K4" s="362" t="s">
        <v>279</v>
      </c>
      <c r="L4" s="361" t="s">
        <v>290</v>
      </c>
      <c r="M4" s="361" t="s">
        <v>279</v>
      </c>
      <c r="N4" s="360" t="s">
        <v>290</v>
      </c>
      <c r="O4" s="362" t="s">
        <v>279</v>
      </c>
      <c r="P4" s="360" t="s">
        <v>290</v>
      </c>
      <c r="Q4" s="362" t="s">
        <v>279</v>
      </c>
      <c r="R4" s="360" t="s">
        <v>290</v>
      </c>
      <c r="S4" s="362" t="s">
        <v>279</v>
      </c>
      <c r="T4" s="361" t="s">
        <v>290</v>
      </c>
      <c r="U4" s="361" t="s">
        <v>279</v>
      </c>
      <c r="V4" s="360" t="s">
        <v>290</v>
      </c>
      <c r="W4" s="362" t="s">
        <v>279</v>
      </c>
      <c r="X4" s="361" t="s">
        <v>290</v>
      </c>
      <c r="Y4" s="361" t="s">
        <v>279</v>
      </c>
      <c r="Z4" s="361" t="s">
        <v>290</v>
      </c>
      <c r="AA4" s="361" t="s">
        <v>279</v>
      </c>
      <c r="AB4" s="361" t="s">
        <v>290</v>
      </c>
      <c r="AC4" s="361" t="s">
        <v>279</v>
      </c>
      <c r="AD4" s="361" t="s">
        <v>290</v>
      </c>
      <c r="AE4" s="361" t="s">
        <v>279</v>
      </c>
      <c r="AF4" s="361" t="s">
        <v>290</v>
      </c>
      <c r="AG4" s="361" t="s">
        <v>279</v>
      </c>
      <c r="AH4" s="361" t="s">
        <v>290</v>
      </c>
      <c r="AI4" s="361" t="s">
        <v>279</v>
      </c>
      <c r="AJ4" s="361" t="s">
        <v>290</v>
      </c>
      <c r="AK4" s="361" t="s">
        <v>279</v>
      </c>
      <c r="AL4" s="361" t="s">
        <v>290</v>
      </c>
      <c r="AM4" s="361" t="s">
        <v>279</v>
      </c>
      <c r="AN4" s="361" t="s">
        <v>290</v>
      </c>
      <c r="AO4" s="361" t="s">
        <v>279</v>
      </c>
      <c r="AP4" s="361" t="s">
        <v>290</v>
      </c>
      <c r="AQ4" s="361" t="s">
        <v>279</v>
      </c>
      <c r="AR4" s="361" t="s">
        <v>290</v>
      </c>
      <c r="AS4" s="361" t="s">
        <v>279</v>
      </c>
      <c r="AT4" s="361" t="s">
        <v>290</v>
      </c>
      <c r="AU4" s="361" t="s">
        <v>279</v>
      </c>
      <c r="AV4" s="361" t="s">
        <v>290</v>
      </c>
      <c r="AW4" s="361" t="s">
        <v>279</v>
      </c>
      <c r="AX4" s="812" t="s">
        <v>290</v>
      </c>
      <c r="AY4" s="361" t="s">
        <v>279</v>
      </c>
      <c r="AZ4" s="360" t="s">
        <v>290</v>
      </c>
      <c r="BA4" s="812" t="s">
        <v>279</v>
      </c>
    </row>
    <row r="5" spans="1:53" ht="28.5" x14ac:dyDescent="0.3">
      <c r="A5" s="590" t="s">
        <v>111</v>
      </c>
      <c r="B5" s="358">
        <v>1025195</v>
      </c>
      <c r="C5" s="515">
        <v>1200802</v>
      </c>
      <c r="D5" s="358"/>
      <c r="E5" s="515"/>
      <c r="F5" s="358"/>
      <c r="G5" s="515"/>
      <c r="H5" s="358">
        <v>2094803</v>
      </c>
      <c r="I5" s="515">
        <v>277934</v>
      </c>
      <c r="J5" s="358">
        <v>-823764</v>
      </c>
      <c r="K5" s="356">
        <v>-746000</v>
      </c>
      <c r="L5" s="354"/>
      <c r="M5" s="515"/>
      <c r="N5" s="358">
        <v>1129046</v>
      </c>
      <c r="O5" s="356">
        <v>939455</v>
      </c>
      <c r="P5" s="358"/>
      <c r="Q5" s="356"/>
      <c r="R5" s="358"/>
      <c r="S5" s="356"/>
      <c r="T5" s="354"/>
      <c r="U5" s="515"/>
      <c r="V5" s="32">
        <v>5645453</v>
      </c>
      <c r="W5" s="356">
        <v>5706308</v>
      </c>
      <c r="X5" s="354">
        <v>10992463</v>
      </c>
      <c r="Y5" s="729">
        <v>7654483</v>
      </c>
      <c r="Z5" s="358"/>
      <c r="AA5" s="515"/>
      <c r="AB5" s="358">
        <v>187301</v>
      </c>
      <c r="AC5" s="515">
        <v>70821</v>
      </c>
      <c r="AD5" s="358"/>
      <c r="AE5" s="515"/>
      <c r="AF5" s="358">
        <v>1861410</v>
      </c>
      <c r="AG5" s="515">
        <v>1181528</v>
      </c>
      <c r="AH5" s="358">
        <v>418603</v>
      </c>
      <c r="AI5" s="515">
        <v>252787</v>
      </c>
      <c r="AJ5" s="358"/>
      <c r="AK5" s="515"/>
      <c r="AL5" s="358"/>
      <c r="AM5" s="515"/>
      <c r="AN5" s="357">
        <v>3955429</v>
      </c>
      <c r="AO5" s="707">
        <v>2709938</v>
      </c>
      <c r="AP5" s="358"/>
      <c r="AQ5" s="515"/>
      <c r="AR5" s="358">
        <v>474746</v>
      </c>
      <c r="AS5" s="515">
        <v>407933</v>
      </c>
      <c r="AT5" s="358">
        <v>193933</v>
      </c>
      <c r="AU5" s="515">
        <v>166402</v>
      </c>
      <c r="AV5" s="358">
        <f t="shared" ref="AV5:AV25" si="0">SUM(B5+D5+F5+H5+J5+L5+N5+P5+R5+T5+V5+X5+Z5+AB5+AD5+AF5+AH5+AJ5+AL5+AN5+AP5+AR5+AT5)</f>
        <v>27154618</v>
      </c>
      <c r="AW5" s="358">
        <f t="shared" ref="AW5:AW25" si="1">SUM(C5+E5+G5+I5+K5+M5+O5+Q5+S5+U5+W5+Y5+AA5+AC5+AE5+AG5+AI5+AK5+AM5+AO5+AQ5+AS5+AU5)</f>
        <v>19822391</v>
      </c>
      <c r="AX5" s="358"/>
      <c r="AY5" s="355"/>
      <c r="AZ5" s="358">
        <f t="shared" ref="AZ5:AZ25" si="2">AV5+AX5</f>
        <v>27154618</v>
      </c>
      <c r="BA5" s="359">
        <f t="shared" ref="BA5:BA25" si="3">AW5+AY5</f>
        <v>19822391</v>
      </c>
    </row>
    <row r="6" spans="1:53" ht="28.5" x14ac:dyDescent="0.3">
      <c r="A6" s="591" t="s">
        <v>112</v>
      </c>
      <c r="B6" s="39"/>
      <c r="C6" s="736"/>
      <c r="D6" s="12"/>
      <c r="E6" s="693"/>
      <c r="F6" s="12"/>
      <c r="G6" s="693"/>
      <c r="H6" s="12"/>
      <c r="I6" s="515"/>
      <c r="J6" s="12"/>
      <c r="K6" s="356"/>
      <c r="L6" s="14"/>
      <c r="M6" s="693"/>
      <c r="N6" s="12"/>
      <c r="O6" s="356"/>
      <c r="P6" s="12"/>
      <c r="Q6" s="356"/>
      <c r="R6" s="12"/>
      <c r="S6" s="15"/>
      <c r="T6" s="14"/>
      <c r="U6" s="693"/>
      <c r="V6" s="12"/>
      <c r="W6" s="356"/>
      <c r="X6" s="14"/>
      <c r="Y6" s="729"/>
      <c r="Z6" s="238"/>
      <c r="AA6" s="727"/>
      <c r="AB6" s="12"/>
      <c r="AC6" s="515"/>
      <c r="AD6" s="12"/>
      <c r="AE6" s="693"/>
      <c r="AF6" s="12"/>
      <c r="AG6" s="515"/>
      <c r="AH6" s="12"/>
      <c r="AI6" s="515"/>
      <c r="AJ6" s="12"/>
      <c r="AK6" s="693"/>
      <c r="AL6" s="718"/>
      <c r="AM6" s="515"/>
      <c r="AN6" s="220"/>
      <c r="AO6" s="707"/>
      <c r="AP6" s="710"/>
      <c r="AQ6" s="280"/>
      <c r="AR6" s="168"/>
      <c r="AS6" s="515"/>
      <c r="AT6" s="12"/>
      <c r="AU6" s="693"/>
      <c r="AV6" s="8">
        <f t="shared" si="0"/>
        <v>0</v>
      </c>
      <c r="AW6" s="8">
        <f t="shared" si="1"/>
        <v>0</v>
      </c>
      <c r="AX6" s="168"/>
      <c r="AY6" s="17"/>
      <c r="AZ6" s="8">
        <f t="shared" si="2"/>
        <v>0</v>
      </c>
      <c r="BA6" s="692">
        <f t="shared" si="3"/>
        <v>0</v>
      </c>
    </row>
    <row r="7" spans="1:53" ht="28.5" x14ac:dyDescent="0.3">
      <c r="A7" s="591" t="s">
        <v>113</v>
      </c>
      <c r="B7" s="39">
        <v>938918</v>
      </c>
      <c r="C7" s="736">
        <v>864477</v>
      </c>
      <c r="D7" s="12">
        <v>20056</v>
      </c>
      <c r="E7" s="693">
        <v>21988</v>
      </c>
      <c r="F7" s="12"/>
      <c r="G7" s="693">
        <v>251140</v>
      </c>
      <c r="H7" s="12">
        <v>2415020</v>
      </c>
      <c r="I7" s="515">
        <v>3139506</v>
      </c>
      <c r="J7" s="12">
        <v>129715</v>
      </c>
      <c r="K7" s="356">
        <v>125225</v>
      </c>
      <c r="L7" s="14">
        <v>409000</v>
      </c>
      <c r="M7" s="693">
        <v>415918</v>
      </c>
      <c r="N7" s="12">
        <v>212491</v>
      </c>
      <c r="O7" s="356">
        <v>231062</v>
      </c>
      <c r="P7" s="12">
        <v>129082</v>
      </c>
      <c r="Q7" s="356">
        <v>266637</v>
      </c>
      <c r="R7" s="12">
        <v>363097</v>
      </c>
      <c r="S7" s="15">
        <v>368138</v>
      </c>
      <c r="T7" s="14">
        <v>90835</v>
      </c>
      <c r="U7" s="693">
        <v>97646</v>
      </c>
      <c r="V7" s="12">
        <v>2018055</v>
      </c>
      <c r="W7" s="356">
        <v>1775653</v>
      </c>
      <c r="X7" s="14">
        <v>2234796</v>
      </c>
      <c r="Y7" s="729">
        <v>2143908</v>
      </c>
      <c r="Z7" s="40">
        <v>201783</v>
      </c>
      <c r="AA7" s="727">
        <v>206035</v>
      </c>
      <c r="AB7" s="12">
        <v>258799</v>
      </c>
      <c r="AC7" s="515">
        <v>211303</v>
      </c>
      <c r="AD7" s="12">
        <v>1182582</v>
      </c>
      <c r="AE7" s="693">
        <v>998544</v>
      </c>
      <c r="AF7" s="12">
        <v>1027195</v>
      </c>
      <c r="AG7" s="515">
        <v>793645</v>
      </c>
      <c r="AH7" s="12">
        <v>497493</v>
      </c>
      <c r="AI7" s="515">
        <v>462020</v>
      </c>
      <c r="AJ7" s="12">
        <v>410114</v>
      </c>
      <c r="AK7" s="693">
        <v>448779</v>
      </c>
      <c r="AL7" s="718"/>
      <c r="AM7" s="515"/>
      <c r="AN7" s="221">
        <v>2530481</v>
      </c>
      <c r="AO7" s="707">
        <v>2312731</v>
      </c>
      <c r="AP7" s="710">
        <v>143166</v>
      </c>
      <c r="AQ7" s="280">
        <v>105572</v>
      </c>
      <c r="AR7" s="168">
        <v>186528</v>
      </c>
      <c r="AS7" s="515">
        <v>167333</v>
      </c>
      <c r="AT7" s="12">
        <v>650776</v>
      </c>
      <c r="AU7" s="693">
        <v>694712</v>
      </c>
      <c r="AV7" s="8">
        <f t="shared" si="0"/>
        <v>16049982</v>
      </c>
      <c r="AW7" s="8">
        <f t="shared" si="1"/>
        <v>16101972</v>
      </c>
      <c r="AX7" s="168"/>
      <c r="AY7" s="17">
        <v>98447</v>
      </c>
      <c r="AZ7" s="8">
        <f t="shared" si="2"/>
        <v>16049982</v>
      </c>
      <c r="BA7" s="692">
        <f t="shared" si="3"/>
        <v>16200419</v>
      </c>
    </row>
    <row r="8" spans="1:53" ht="42.75" x14ac:dyDescent="0.3">
      <c r="A8" s="591" t="s">
        <v>114</v>
      </c>
      <c r="B8" s="39">
        <v>15989</v>
      </c>
      <c r="C8" s="736">
        <v>9824</v>
      </c>
      <c r="D8" s="12">
        <v>490</v>
      </c>
      <c r="E8" s="693"/>
      <c r="F8" s="12"/>
      <c r="G8" s="693">
        <v>1412</v>
      </c>
      <c r="H8" s="12">
        <v>2047990</v>
      </c>
      <c r="I8" s="515">
        <v>1701537</v>
      </c>
      <c r="J8" s="12">
        <v>82096</v>
      </c>
      <c r="K8" s="356">
        <v>38094</v>
      </c>
      <c r="L8" s="14">
        <v>173686</v>
      </c>
      <c r="M8" s="693">
        <v>154022</v>
      </c>
      <c r="N8" s="12">
        <v>79669</v>
      </c>
      <c r="O8" s="356">
        <v>43626</v>
      </c>
      <c r="P8" s="12">
        <v>53429</v>
      </c>
      <c r="Q8" s="356">
        <v>111586</v>
      </c>
      <c r="R8" s="12">
        <v>203187</v>
      </c>
      <c r="S8" s="15">
        <v>187386</v>
      </c>
      <c r="T8" s="14">
        <v>36101</v>
      </c>
      <c r="U8" s="693">
        <v>15137</v>
      </c>
      <c r="V8" s="12">
        <v>317309</v>
      </c>
      <c r="W8" s="356">
        <v>676160</v>
      </c>
      <c r="X8" s="14">
        <v>1925245</v>
      </c>
      <c r="Y8" s="729">
        <v>977394</v>
      </c>
      <c r="Z8" s="40">
        <v>6876</v>
      </c>
      <c r="AA8" s="727">
        <v>27002</v>
      </c>
      <c r="AB8" s="12">
        <v>14135</v>
      </c>
      <c r="AC8" s="515">
        <v>8946</v>
      </c>
      <c r="AD8" s="12">
        <v>23729</v>
      </c>
      <c r="AE8" s="693">
        <v>12054</v>
      </c>
      <c r="AF8" s="12">
        <v>58266</v>
      </c>
      <c r="AG8" s="515">
        <v>213599</v>
      </c>
      <c r="AH8" s="12">
        <v>8093</v>
      </c>
      <c r="AI8" s="515">
        <v>14737</v>
      </c>
      <c r="AJ8" s="12">
        <v>119416</v>
      </c>
      <c r="AK8" s="693">
        <v>482661</v>
      </c>
      <c r="AL8" s="718"/>
      <c r="AM8" s="515"/>
      <c r="AN8" s="221">
        <v>933695</v>
      </c>
      <c r="AO8" s="707">
        <v>972464</v>
      </c>
      <c r="AP8" s="710">
        <v>161706</v>
      </c>
      <c r="AQ8" s="280">
        <v>42046</v>
      </c>
      <c r="AR8" s="168">
        <v>140396</v>
      </c>
      <c r="AS8" s="515">
        <v>84069</v>
      </c>
      <c r="AT8" s="12">
        <v>53100</v>
      </c>
      <c r="AU8" s="693">
        <v>58511</v>
      </c>
      <c r="AV8" s="8">
        <f t="shared" si="0"/>
        <v>6454603</v>
      </c>
      <c r="AW8" s="8">
        <f t="shared" si="1"/>
        <v>5832267</v>
      </c>
      <c r="AX8" s="168"/>
      <c r="AY8" s="17">
        <v>14291</v>
      </c>
      <c r="AZ8" s="8">
        <f t="shared" si="2"/>
        <v>6454603</v>
      </c>
      <c r="BA8" s="692">
        <f t="shared" si="3"/>
        <v>5846558</v>
      </c>
    </row>
    <row r="9" spans="1:53" ht="42.75" x14ac:dyDescent="0.3">
      <c r="A9" s="591" t="s">
        <v>115</v>
      </c>
      <c r="B9" s="39">
        <v>-570</v>
      </c>
      <c r="C9" s="736"/>
      <c r="D9" s="12"/>
      <c r="E9" s="693"/>
      <c r="F9" s="12"/>
      <c r="G9" s="693">
        <v>-772</v>
      </c>
      <c r="H9" s="12">
        <v>-957323</v>
      </c>
      <c r="I9" s="515">
        <v>-347403</v>
      </c>
      <c r="J9" s="12">
        <v>-45636</v>
      </c>
      <c r="K9" s="356">
        <v>-13257</v>
      </c>
      <c r="L9" s="14"/>
      <c r="M9" s="693"/>
      <c r="N9" s="12">
        <v>-20750</v>
      </c>
      <c r="O9" s="356">
        <v>-6101</v>
      </c>
      <c r="P9" s="12">
        <v>-27470</v>
      </c>
      <c r="Q9" s="356">
        <v>-39405</v>
      </c>
      <c r="R9" s="12"/>
      <c r="S9" s="15"/>
      <c r="T9" s="14">
        <v>-21233</v>
      </c>
      <c r="U9" s="693">
        <v>-9685</v>
      </c>
      <c r="V9" s="12"/>
      <c r="W9" s="356">
        <v>-16706</v>
      </c>
      <c r="X9" s="14">
        <v>-1182509</v>
      </c>
      <c r="Y9" s="729">
        <v>-269355</v>
      </c>
      <c r="Z9" s="40">
        <v>-6058</v>
      </c>
      <c r="AA9" s="727">
        <v>-31074</v>
      </c>
      <c r="AB9" s="12">
        <v>-3</v>
      </c>
      <c r="AC9" s="515"/>
      <c r="AD9" s="12"/>
      <c r="AE9" s="693"/>
      <c r="AF9" s="12">
        <v>-3906</v>
      </c>
      <c r="AG9" s="515">
        <v>-35825</v>
      </c>
      <c r="AH9" s="12">
        <v>-8021</v>
      </c>
      <c r="AI9" s="515"/>
      <c r="AJ9" s="12">
        <v>-53792</v>
      </c>
      <c r="AK9" s="693">
        <v>-94585</v>
      </c>
      <c r="AL9" s="718"/>
      <c r="AM9" s="515"/>
      <c r="AN9" s="221">
        <v>-497537</v>
      </c>
      <c r="AO9" s="707">
        <v>-166090</v>
      </c>
      <c r="AP9" s="710">
        <v>-141487</v>
      </c>
      <c r="AQ9" s="280">
        <v>-94333</v>
      </c>
      <c r="AR9" s="168">
        <v>-5270</v>
      </c>
      <c r="AS9" s="515">
        <v>-6035</v>
      </c>
      <c r="AT9" s="12">
        <v>-3378</v>
      </c>
      <c r="AU9" s="693">
        <v>-44034</v>
      </c>
      <c r="AV9" s="8">
        <f t="shared" si="0"/>
        <v>-2974943</v>
      </c>
      <c r="AW9" s="8">
        <f t="shared" si="1"/>
        <v>-1174660</v>
      </c>
      <c r="AX9" s="168"/>
      <c r="AY9" s="17">
        <v>-2496</v>
      </c>
      <c r="AZ9" s="8">
        <f t="shared" si="2"/>
        <v>-2974943</v>
      </c>
      <c r="BA9" s="692">
        <f t="shared" si="3"/>
        <v>-1177156</v>
      </c>
    </row>
    <row r="10" spans="1:53" ht="42.75" x14ac:dyDescent="0.3">
      <c r="A10" s="591" t="s">
        <v>116</v>
      </c>
      <c r="B10" s="8"/>
      <c r="C10" s="736"/>
      <c r="D10" s="20">
        <v>3284</v>
      </c>
      <c r="E10" s="693">
        <v>24645</v>
      </c>
      <c r="F10" s="20"/>
      <c r="G10" s="693"/>
      <c r="H10" s="20">
        <v>-60124</v>
      </c>
      <c r="I10" s="515">
        <v>18868</v>
      </c>
      <c r="J10" s="20"/>
      <c r="K10" s="356"/>
      <c r="L10" s="22"/>
      <c r="M10" s="693"/>
      <c r="N10" s="20">
        <v>-14000</v>
      </c>
      <c r="O10" s="356">
        <v>-9201</v>
      </c>
      <c r="P10" s="20"/>
      <c r="Q10" s="356"/>
      <c r="R10" s="20"/>
      <c r="S10" s="15"/>
      <c r="T10" s="22"/>
      <c r="U10" s="693"/>
      <c r="V10" s="20"/>
      <c r="W10" s="356">
        <v>-47453</v>
      </c>
      <c r="X10" s="22">
        <v>-1382</v>
      </c>
      <c r="Y10" s="729">
        <v>-19803</v>
      </c>
      <c r="Z10" s="40">
        <v>19847</v>
      </c>
      <c r="AA10" s="727">
        <v>32281</v>
      </c>
      <c r="AB10" s="20">
        <v>-5899</v>
      </c>
      <c r="AC10" s="515">
        <v>10854</v>
      </c>
      <c r="AD10" s="724"/>
      <c r="AE10" s="693"/>
      <c r="AF10" s="20"/>
      <c r="AG10" s="515">
        <v>50278</v>
      </c>
      <c r="AH10" s="20">
        <v>-13037</v>
      </c>
      <c r="AI10" s="515">
        <v>-3669</v>
      </c>
      <c r="AJ10" s="20">
        <v>-12949</v>
      </c>
      <c r="AK10" s="693">
        <v>5692</v>
      </c>
      <c r="AL10" s="718"/>
      <c r="AM10" s="515"/>
      <c r="AN10" s="221"/>
      <c r="AO10" s="707">
        <v>22326</v>
      </c>
      <c r="AP10" s="710">
        <v>-279</v>
      </c>
      <c r="AQ10" s="280">
        <v>-1888</v>
      </c>
      <c r="AR10" s="168"/>
      <c r="AS10" s="515"/>
      <c r="AT10" s="20">
        <v>84257</v>
      </c>
      <c r="AU10" s="693">
        <v>35035</v>
      </c>
      <c r="AV10" s="8">
        <f t="shared" si="0"/>
        <v>-282</v>
      </c>
      <c r="AW10" s="8">
        <f t="shared" si="1"/>
        <v>117965</v>
      </c>
      <c r="AX10" s="20"/>
      <c r="AY10" s="17"/>
      <c r="AZ10" s="8">
        <f t="shared" si="2"/>
        <v>-282</v>
      </c>
      <c r="BA10" s="692">
        <f t="shared" si="3"/>
        <v>117965</v>
      </c>
    </row>
    <row r="11" spans="1:53" ht="42.75" x14ac:dyDescent="0.3">
      <c r="A11" s="591" t="s">
        <v>288</v>
      </c>
      <c r="B11" s="8"/>
      <c r="C11" s="736"/>
      <c r="D11" s="20"/>
      <c r="E11" s="693"/>
      <c r="F11" s="20"/>
      <c r="G11" s="693"/>
      <c r="H11" s="20"/>
      <c r="I11" s="515"/>
      <c r="J11" s="20"/>
      <c r="K11" s="356"/>
      <c r="L11" s="22"/>
      <c r="M11" s="693"/>
      <c r="N11" s="20"/>
      <c r="O11" s="356"/>
      <c r="P11" s="20"/>
      <c r="Q11" s="356"/>
      <c r="R11" s="20"/>
      <c r="S11" s="15"/>
      <c r="T11" s="22"/>
      <c r="U11" s="693"/>
      <c r="V11" s="20"/>
      <c r="W11" s="356"/>
      <c r="X11" s="22">
        <v>9360</v>
      </c>
      <c r="Y11" s="729"/>
      <c r="Z11" s="40"/>
      <c r="AA11" s="727"/>
      <c r="AB11" s="20"/>
      <c r="AC11" s="515"/>
      <c r="AD11" s="724"/>
      <c r="AE11" s="693"/>
      <c r="AF11" s="20"/>
      <c r="AG11" s="515">
        <v>-79500</v>
      </c>
      <c r="AH11" s="20"/>
      <c r="AI11" s="515"/>
      <c r="AJ11" s="20"/>
      <c r="AK11" s="693"/>
      <c r="AL11" s="718"/>
      <c r="AM11" s="515"/>
      <c r="AN11" s="221"/>
      <c r="AO11" s="707">
        <v>31514</v>
      </c>
      <c r="AP11" s="710"/>
      <c r="AQ11" s="280"/>
      <c r="AR11" s="168"/>
      <c r="AS11" s="515"/>
      <c r="AT11" s="20"/>
      <c r="AU11" s="693"/>
      <c r="AV11" s="8"/>
      <c r="AW11" s="8"/>
      <c r="AX11" s="20"/>
      <c r="AY11" s="17"/>
      <c r="AZ11" s="8"/>
      <c r="BA11" s="738"/>
    </row>
    <row r="12" spans="1:53" x14ac:dyDescent="0.3">
      <c r="A12" s="591" t="s">
        <v>117</v>
      </c>
      <c r="B12" s="39"/>
      <c r="C12" s="736"/>
      <c r="D12" s="12"/>
      <c r="E12" s="693"/>
      <c r="F12" s="12"/>
      <c r="G12" s="693"/>
      <c r="H12" s="12"/>
      <c r="I12" s="515">
        <v>9112</v>
      </c>
      <c r="J12" s="12"/>
      <c r="K12" s="356"/>
      <c r="L12" s="14">
        <v>878</v>
      </c>
      <c r="M12" s="693">
        <v>118</v>
      </c>
      <c r="N12" s="12"/>
      <c r="O12" s="356"/>
      <c r="P12" s="12">
        <v>4618</v>
      </c>
      <c r="Q12" s="356">
        <v>235</v>
      </c>
      <c r="R12" s="12"/>
      <c r="S12" s="15"/>
      <c r="T12" s="14"/>
      <c r="U12" s="693"/>
      <c r="V12" s="12"/>
      <c r="W12" s="356"/>
      <c r="X12" s="14"/>
      <c r="Y12" s="729">
        <v>9981</v>
      </c>
      <c r="Z12" s="12">
        <f>43+3170</f>
        <v>3213</v>
      </c>
      <c r="AA12" s="727">
        <f>1149+32</f>
        <v>1181</v>
      </c>
      <c r="AB12" s="12">
        <v>3653</v>
      </c>
      <c r="AC12" s="515">
        <v>5185</v>
      </c>
      <c r="AD12" s="12">
        <v>1900</v>
      </c>
      <c r="AE12" s="693"/>
      <c r="AF12" s="12">
        <v>122596</v>
      </c>
      <c r="AG12" s="515"/>
      <c r="AH12" s="12"/>
      <c r="AI12" s="515"/>
      <c r="AJ12" s="12"/>
      <c r="AK12" s="693"/>
      <c r="AL12" s="718"/>
      <c r="AM12" s="515"/>
      <c r="AN12" s="221">
        <v>31534</v>
      </c>
      <c r="AO12" s="707"/>
      <c r="AP12" s="710">
        <v>5381</v>
      </c>
      <c r="AQ12" s="280">
        <v>582</v>
      </c>
      <c r="AR12" s="168">
        <v>23</v>
      </c>
      <c r="AS12" s="515">
        <v>90</v>
      </c>
      <c r="AT12" s="12"/>
      <c r="AU12" s="693"/>
      <c r="AV12" s="8">
        <f t="shared" si="0"/>
        <v>173796</v>
      </c>
      <c r="AW12" s="8">
        <f t="shared" si="1"/>
        <v>26484</v>
      </c>
      <c r="AX12" s="168"/>
      <c r="AY12" s="17"/>
      <c r="AZ12" s="8">
        <f t="shared" si="2"/>
        <v>173796</v>
      </c>
      <c r="BA12" s="692">
        <f t="shared" si="3"/>
        <v>26484</v>
      </c>
    </row>
    <row r="13" spans="1:53" s="642" customFormat="1" x14ac:dyDescent="0.3">
      <c r="A13" s="639" t="s">
        <v>278</v>
      </c>
      <c r="B13" s="643">
        <f t="shared" ref="B13:X13" si="4">SUM(B5:B12)</f>
        <v>1979532</v>
      </c>
      <c r="C13" s="643">
        <f t="shared" si="4"/>
        <v>2075103</v>
      </c>
      <c r="D13" s="643">
        <f t="shared" si="4"/>
        <v>23830</v>
      </c>
      <c r="E13" s="643">
        <f t="shared" si="4"/>
        <v>46633</v>
      </c>
      <c r="F13" s="643">
        <f t="shared" si="4"/>
        <v>0</v>
      </c>
      <c r="G13" s="643">
        <f t="shared" si="4"/>
        <v>251780</v>
      </c>
      <c r="H13" s="643">
        <f t="shared" si="4"/>
        <v>5540366</v>
      </c>
      <c r="I13" s="774">
        <f t="shared" si="4"/>
        <v>4799554</v>
      </c>
      <c r="J13" s="643">
        <f t="shared" si="4"/>
        <v>-657589</v>
      </c>
      <c r="K13" s="780">
        <f t="shared" si="4"/>
        <v>-595938</v>
      </c>
      <c r="L13" s="776">
        <f t="shared" si="4"/>
        <v>583564</v>
      </c>
      <c r="M13" s="774">
        <f t="shared" si="4"/>
        <v>570058</v>
      </c>
      <c r="N13" s="643">
        <f t="shared" si="4"/>
        <v>1386456</v>
      </c>
      <c r="O13" s="780">
        <f t="shared" si="4"/>
        <v>1198841</v>
      </c>
      <c r="P13" s="643">
        <f t="shared" si="4"/>
        <v>159659</v>
      </c>
      <c r="Q13" s="780">
        <f t="shared" si="4"/>
        <v>339053</v>
      </c>
      <c r="R13" s="643">
        <f t="shared" si="4"/>
        <v>566284</v>
      </c>
      <c r="S13" s="780">
        <f t="shared" si="4"/>
        <v>555524</v>
      </c>
      <c r="T13" s="776">
        <f t="shared" si="4"/>
        <v>105703</v>
      </c>
      <c r="U13" s="774">
        <f t="shared" si="4"/>
        <v>103098</v>
      </c>
      <c r="V13" s="643">
        <f t="shared" si="4"/>
        <v>7980817</v>
      </c>
      <c r="W13" s="780">
        <f t="shared" si="4"/>
        <v>8093962</v>
      </c>
      <c r="X13" s="776">
        <f t="shared" si="4"/>
        <v>13977973</v>
      </c>
      <c r="Y13" s="730">
        <f>X13</f>
        <v>13977973</v>
      </c>
      <c r="Z13" s="643">
        <f t="shared" ref="Z13:AN13" si="5">SUM(Z5:Z12)</f>
        <v>225661</v>
      </c>
      <c r="AA13" s="643">
        <f t="shared" si="5"/>
        <v>235425</v>
      </c>
      <c r="AB13" s="643">
        <f t="shared" si="5"/>
        <v>457986</v>
      </c>
      <c r="AC13" s="643">
        <f t="shared" si="5"/>
        <v>307109</v>
      </c>
      <c r="AD13" s="643">
        <f t="shared" si="5"/>
        <v>1208211</v>
      </c>
      <c r="AE13" s="643">
        <f t="shared" si="5"/>
        <v>1010598</v>
      </c>
      <c r="AF13" s="643">
        <f t="shared" si="5"/>
        <v>3065561</v>
      </c>
      <c r="AG13" s="643">
        <f t="shared" si="5"/>
        <v>2123725</v>
      </c>
      <c r="AH13" s="643">
        <f t="shared" si="5"/>
        <v>903131</v>
      </c>
      <c r="AI13" s="714">
        <f t="shared" si="5"/>
        <v>725875</v>
      </c>
      <c r="AJ13" s="643">
        <f t="shared" si="5"/>
        <v>462789</v>
      </c>
      <c r="AK13" s="643">
        <f t="shared" si="5"/>
        <v>842547</v>
      </c>
      <c r="AL13" s="643">
        <f t="shared" si="5"/>
        <v>0</v>
      </c>
      <c r="AM13" s="714">
        <f t="shared" si="5"/>
        <v>0</v>
      </c>
      <c r="AN13" s="643">
        <f t="shared" si="5"/>
        <v>6953602</v>
      </c>
      <c r="AO13" s="702">
        <f>AN13</f>
        <v>6953602</v>
      </c>
      <c r="AP13" s="643">
        <f>SUM(AP5:AP12)</f>
        <v>168487</v>
      </c>
      <c r="AQ13" s="701">
        <f>AP13</f>
        <v>168487</v>
      </c>
      <c r="AR13" s="643">
        <f>SUM(AR5:AR12)</f>
        <v>796423</v>
      </c>
      <c r="AS13" s="643">
        <f>SUM(AS5:AS12)</f>
        <v>653390</v>
      </c>
      <c r="AT13" s="643">
        <f>SUM(AT5:AT12)</f>
        <v>978688</v>
      </c>
      <c r="AU13" s="643">
        <f>SUM(AU5:AU12)</f>
        <v>910626</v>
      </c>
      <c r="AV13" s="640">
        <f t="shared" si="0"/>
        <v>46867134</v>
      </c>
      <c r="AW13" s="640">
        <f t="shared" si="1"/>
        <v>45347025</v>
      </c>
      <c r="AX13" s="643">
        <f>SUM(AX5:AX12)</f>
        <v>0</v>
      </c>
      <c r="AY13" s="643">
        <f>SUM(AY5:AY12)</f>
        <v>110242</v>
      </c>
      <c r="AZ13" s="640">
        <f t="shared" si="2"/>
        <v>46867134</v>
      </c>
      <c r="BA13" s="641">
        <f t="shared" si="3"/>
        <v>45457267</v>
      </c>
    </row>
    <row r="14" spans="1:53" ht="42.75" x14ac:dyDescent="0.3">
      <c r="A14" s="591" t="s">
        <v>118</v>
      </c>
      <c r="B14" s="39">
        <f>189085+8740</f>
        <v>197825</v>
      </c>
      <c r="C14" s="736">
        <v>310591</v>
      </c>
      <c r="D14" s="12">
        <v>42384</v>
      </c>
      <c r="E14" s="693">
        <v>56850</v>
      </c>
      <c r="F14" s="12"/>
      <c r="G14" s="693">
        <v>45009</v>
      </c>
      <c r="H14" s="12">
        <f>133004+44909</f>
        <v>177913</v>
      </c>
      <c r="I14" s="515">
        <v>202511</v>
      </c>
      <c r="J14" s="12">
        <f>31234+38285</f>
        <v>69519</v>
      </c>
      <c r="K14" s="356">
        <v>55601</v>
      </c>
      <c r="L14" s="14">
        <f>13725+13438</f>
        <v>27163</v>
      </c>
      <c r="M14" s="693">
        <v>35734</v>
      </c>
      <c r="N14" s="12">
        <v>66329</v>
      </c>
      <c r="O14" s="356">
        <v>539852</v>
      </c>
      <c r="P14" s="12">
        <v>3364</v>
      </c>
      <c r="Q14" s="356">
        <v>4132</v>
      </c>
      <c r="R14" s="12">
        <v>1600</v>
      </c>
      <c r="S14" s="15">
        <v>1520</v>
      </c>
      <c r="T14" s="14">
        <f>7369+10373</f>
        <v>17742</v>
      </c>
      <c r="U14" s="693">
        <v>38531</v>
      </c>
      <c r="V14" s="12">
        <f>115528+27058</f>
        <v>142586</v>
      </c>
      <c r="W14" s="356">
        <v>88450</v>
      </c>
      <c r="X14" s="14">
        <v>146393</v>
      </c>
      <c r="Y14" s="729">
        <v>205678</v>
      </c>
      <c r="Z14" s="12">
        <v>26545</v>
      </c>
      <c r="AA14" s="727">
        <v>31370</v>
      </c>
      <c r="AB14" s="12">
        <f>64140+5493</f>
        <v>69633</v>
      </c>
      <c r="AC14" s="515">
        <v>68953</v>
      </c>
      <c r="AD14" s="12">
        <f>51348</f>
        <v>51348</v>
      </c>
      <c r="AE14" s="693">
        <v>20785</v>
      </c>
      <c r="AF14" s="12">
        <v>84539</v>
      </c>
      <c r="AG14" s="515"/>
      <c r="AH14" s="12">
        <f>59114+13896</f>
        <v>73010</v>
      </c>
      <c r="AI14" s="693">
        <v>297603</v>
      </c>
      <c r="AJ14" s="12">
        <f>96170+20403</f>
        <v>116573</v>
      </c>
      <c r="AK14" s="693">
        <v>392797</v>
      </c>
      <c r="AL14" s="718"/>
      <c r="AM14" s="693"/>
      <c r="AN14" s="220"/>
      <c r="AO14" s="707"/>
      <c r="AP14" s="710">
        <v>3600</v>
      </c>
      <c r="AQ14" s="280">
        <v>7816</v>
      </c>
      <c r="AR14" s="168">
        <f>11586+30214</f>
        <v>41800</v>
      </c>
      <c r="AS14" s="515">
        <v>31632</v>
      </c>
      <c r="AT14" s="12">
        <v>19965</v>
      </c>
      <c r="AU14" s="693">
        <v>13576</v>
      </c>
      <c r="AV14" s="8">
        <f t="shared" si="0"/>
        <v>1379831</v>
      </c>
      <c r="AW14" s="8">
        <f t="shared" si="1"/>
        <v>2448991</v>
      </c>
      <c r="AX14" s="168"/>
      <c r="AY14" s="17">
        <v>2196</v>
      </c>
      <c r="AZ14" s="8">
        <f t="shared" si="2"/>
        <v>1379831</v>
      </c>
      <c r="BA14" s="692">
        <f t="shared" si="3"/>
        <v>2451187</v>
      </c>
    </row>
    <row r="15" spans="1:53" x14ac:dyDescent="0.3">
      <c r="A15" s="591" t="s">
        <v>119</v>
      </c>
      <c r="B15" s="39"/>
      <c r="C15" s="736"/>
      <c r="D15" s="12"/>
      <c r="E15" s="693"/>
      <c r="F15" s="12"/>
      <c r="G15" s="693"/>
      <c r="H15" s="12"/>
      <c r="I15" s="515"/>
      <c r="J15" s="12"/>
      <c r="K15" s="356"/>
      <c r="L15" s="14"/>
      <c r="M15" s="693"/>
      <c r="N15" s="12"/>
      <c r="O15" s="356"/>
      <c r="P15" s="12"/>
      <c r="Q15" s="356"/>
      <c r="R15" s="12"/>
      <c r="S15" s="15"/>
      <c r="T15" s="14"/>
      <c r="U15" s="693"/>
      <c r="V15" s="12"/>
      <c r="W15" s="356"/>
      <c r="X15" s="14"/>
      <c r="Y15" s="729"/>
      <c r="Z15" s="12"/>
      <c r="AA15" s="727"/>
      <c r="AB15" s="12"/>
      <c r="AC15" s="515"/>
      <c r="AD15" s="12"/>
      <c r="AE15" s="693"/>
      <c r="AF15" s="12"/>
      <c r="AG15" s="515"/>
      <c r="AH15" s="12"/>
      <c r="AI15" s="693"/>
      <c r="AJ15" s="12"/>
      <c r="AK15" s="693"/>
      <c r="AL15" s="718"/>
      <c r="AM15" s="693"/>
      <c r="AN15" s="222"/>
      <c r="AO15" s="707"/>
      <c r="AP15" s="710"/>
      <c r="AQ15" s="280"/>
      <c r="AR15" s="168"/>
      <c r="AS15" s="515"/>
      <c r="AT15" s="12"/>
      <c r="AU15" s="693"/>
      <c r="AV15" s="8">
        <f t="shared" si="0"/>
        <v>0</v>
      </c>
      <c r="AW15" s="8">
        <f t="shared" si="1"/>
        <v>0</v>
      </c>
      <c r="AX15" s="168"/>
      <c r="AY15" s="17"/>
      <c r="AZ15" s="8">
        <f t="shared" si="2"/>
        <v>0</v>
      </c>
      <c r="BA15" s="692">
        <f t="shared" si="3"/>
        <v>0</v>
      </c>
    </row>
    <row r="16" spans="1:53" ht="28.5" x14ac:dyDescent="0.3">
      <c r="A16" s="591" t="s">
        <v>120</v>
      </c>
      <c r="B16" s="8"/>
      <c r="C16" s="736"/>
      <c r="D16" s="20"/>
      <c r="E16" s="693">
        <v>20798</v>
      </c>
      <c r="F16" s="20"/>
      <c r="G16" s="693"/>
      <c r="H16" s="20"/>
      <c r="I16" s="515"/>
      <c r="J16" s="20"/>
      <c r="K16" s="356"/>
      <c r="L16" s="22"/>
      <c r="M16" s="693"/>
      <c r="N16" s="20">
        <v>21397</v>
      </c>
      <c r="O16" s="356">
        <v>28137</v>
      </c>
      <c r="P16" s="20"/>
      <c r="Q16" s="356"/>
      <c r="R16" s="20">
        <v>15584</v>
      </c>
      <c r="S16" s="15">
        <v>19390</v>
      </c>
      <c r="T16" s="22"/>
      <c r="U16" s="693"/>
      <c r="V16" s="20"/>
      <c r="W16" s="356"/>
      <c r="X16" s="22"/>
      <c r="Y16" s="729"/>
      <c r="Z16" s="40">
        <v>24460</v>
      </c>
      <c r="AA16" s="727">
        <v>29802</v>
      </c>
      <c r="AB16" s="20"/>
      <c r="AC16" s="515"/>
      <c r="AD16" s="724"/>
      <c r="AE16" s="693"/>
      <c r="AF16" s="20"/>
      <c r="AG16" s="515"/>
      <c r="AH16" s="20"/>
      <c r="AI16" s="606"/>
      <c r="AJ16" s="20"/>
      <c r="AK16" s="693"/>
      <c r="AL16" s="718"/>
      <c r="AM16" s="693"/>
      <c r="AN16" s="221">
        <v>9340</v>
      </c>
      <c r="AO16" s="707">
        <v>2415</v>
      </c>
      <c r="AP16" s="710"/>
      <c r="AQ16" s="280"/>
      <c r="AR16" s="168"/>
      <c r="AS16" s="515"/>
      <c r="AT16" s="20">
        <v>35219</v>
      </c>
      <c r="AU16" s="693">
        <v>19823</v>
      </c>
      <c r="AV16" s="8">
        <f t="shared" si="0"/>
        <v>106000</v>
      </c>
      <c r="AW16" s="8">
        <f t="shared" si="1"/>
        <v>120365</v>
      </c>
      <c r="AX16" s="20"/>
      <c r="AY16" s="17"/>
      <c r="AZ16" s="8">
        <f t="shared" si="2"/>
        <v>106000</v>
      </c>
      <c r="BA16" s="692">
        <f t="shared" si="3"/>
        <v>120365</v>
      </c>
    </row>
    <row r="17" spans="1:53" ht="28.5" x14ac:dyDescent="0.3">
      <c r="A17" s="591" t="s">
        <v>121</v>
      </c>
      <c r="B17" s="39"/>
      <c r="C17" s="736"/>
      <c r="D17" s="12"/>
      <c r="E17" s="693"/>
      <c r="F17" s="12"/>
      <c r="G17" s="693"/>
      <c r="H17" s="12"/>
      <c r="I17" s="515"/>
      <c r="J17" s="12"/>
      <c r="K17" s="356"/>
      <c r="L17" s="14"/>
      <c r="M17" s="693"/>
      <c r="N17" s="12"/>
      <c r="O17" s="356"/>
      <c r="P17" s="12"/>
      <c r="Q17" s="356"/>
      <c r="R17" s="12"/>
      <c r="S17" s="15"/>
      <c r="T17" s="14"/>
      <c r="U17" s="693"/>
      <c r="V17" s="12"/>
      <c r="W17" s="356"/>
      <c r="X17" s="14"/>
      <c r="Y17" s="729"/>
      <c r="Z17" s="40"/>
      <c r="AA17" s="727"/>
      <c r="AB17" s="12"/>
      <c r="AC17" s="515"/>
      <c r="AD17" s="12"/>
      <c r="AE17" s="693"/>
      <c r="AF17" s="12"/>
      <c r="AG17" s="515"/>
      <c r="AH17" s="12"/>
      <c r="AI17" s="693"/>
      <c r="AJ17" s="12"/>
      <c r="AK17" s="693"/>
      <c r="AL17" s="718"/>
      <c r="AM17" s="693"/>
      <c r="AN17" s="221">
        <v>39</v>
      </c>
      <c r="AO17" s="707">
        <v>1276</v>
      </c>
      <c r="AP17" s="710"/>
      <c r="AQ17" s="280"/>
      <c r="AR17" s="168"/>
      <c r="AS17" s="515"/>
      <c r="AT17" s="12"/>
      <c r="AU17" s="693"/>
      <c r="AV17" s="8">
        <f t="shared" si="0"/>
        <v>39</v>
      </c>
      <c r="AW17" s="8">
        <f t="shared" si="1"/>
        <v>1276</v>
      </c>
      <c r="AX17" s="12"/>
      <c r="AY17" s="17"/>
      <c r="AZ17" s="8">
        <f t="shared" si="2"/>
        <v>39</v>
      </c>
      <c r="BA17" s="692">
        <f t="shared" si="3"/>
        <v>1276</v>
      </c>
    </row>
    <row r="18" spans="1:53" x14ac:dyDescent="0.3">
      <c r="A18" s="591" t="s">
        <v>122</v>
      </c>
      <c r="B18" s="39"/>
      <c r="C18" s="736"/>
      <c r="D18" s="12"/>
      <c r="E18" s="693"/>
      <c r="F18" s="12"/>
      <c r="G18" s="693"/>
      <c r="H18" s="12"/>
      <c r="I18" s="515"/>
      <c r="J18" s="12"/>
      <c r="K18" s="356"/>
      <c r="L18" s="14"/>
      <c r="M18" s="693"/>
      <c r="N18" s="12"/>
      <c r="O18" s="356"/>
      <c r="P18" s="12"/>
      <c r="Q18" s="356"/>
      <c r="R18" s="12"/>
      <c r="S18" s="15"/>
      <c r="T18" s="14"/>
      <c r="U18" s="693"/>
      <c r="V18" s="12"/>
      <c r="W18" s="356"/>
      <c r="X18" s="14"/>
      <c r="Y18" s="729"/>
      <c r="Z18" s="40"/>
      <c r="AA18" s="727"/>
      <c r="AB18" s="12"/>
      <c r="AC18" s="515"/>
      <c r="AD18" s="12"/>
      <c r="AE18" s="693"/>
      <c r="AF18" s="12"/>
      <c r="AG18" s="515"/>
      <c r="AH18" s="12"/>
      <c r="AI18" s="693"/>
      <c r="AJ18" s="12"/>
      <c r="AK18" s="693"/>
      <c r="AL18" s="718"/>
      <c r="AM18" s="693"/>
      <c r="AN18" s="221">
        <v>1025</v>
      </c>
      <c r="AO18" s="707">
        <v>2263</v>
      </c>
      <c r="AP18" s="710"/>
      <c r="AQ18" s="280"/>
      <c r="AR18" s="168"/>
      <c r="AS18" s="515"/>
      <c r="AT18" s="12"/>
      <c r="AU18" s="693"/>
      <c r="AV18" s="8">
        <f t="shared" si="0"/>
        <v>1025</v>
      </c>
      <c r="AW18" s="8">
        <f t="shared" si="1"/>
        <v>2263</v>
      </c>
      <c r="AX18" s="12"/>
      <c r="AY18" s="17"/>
      <c r="AZ18" s="8">
        <f t="shared" si="2"/>
        <v>1025</v>
      </c>
      <c r="BA18" s="692">
        <f t="shared" si="3"/>
        <v>2263</v>
      </c>
    </row>
    <row r="19" spans="1:53" x14ac:dyDescent="0.3">
      <c r="A19" s="591" t="s">
        <v>123</v>
      </c>
      <c r="B19" s="39"/>
      <c r="C19" s="736"/>
      <c r="D19" s="12"/>
      <c r="E19" s="693"/>
      <c r="F19" s="12"/>
      <c r="G19" s="693"/>
      <c r="H19" s="12"/>
      <c r="I19" s="515"/>
      <c r="J19" s="12"/>
      <c r="K19" s="356"/>
      <c r="L19" s="14"/>
      <c r="M19" s="693"/>
      <c r="N19" s="12"/>
      <c r="O19" s="356"/>
      <c r="P19" s="12"/>
      <c r="Q19" s="356"/>
      <c r="R19" s="12"/>
      <c r="S19" s="15"/>
      <c r="T19" s="14"/>
      <c r="U19" s="693"/>
      <c r="V19" s="12">
        <v>70035</v>
      </c>
      <c r="W19" s="356"/>
      <c r="X19" s="14">
        <v>81363</v>
      </c>
      <c r="Y19" s="729"/>
      <c r="Z19" s="40"/>
      <c r="AA19" s="727"/>
      <c r="AB19" s="12"/>
      <c r="AC19" s="515"/>
      <c r="AD19" s="12"/>
      <c r="AE19" s="693"/>
      <c r="AF19" s="12">
        <v>121646</v>
      </c>
      <c r="AG19" s="515">
        <f>38003+706+737+26692</f>
        <v>66138</v>
      </c>
      <c r="AH19" s="12"/>
      <c r="AI19" s="693"/>
      <c r="AJ19" s="12"/>
      <c r="AK19" s="693"/>
      <c r="AL19" s="718"/>
      <c r="AM19" s="693"/>
      <c r="AN19" s="221">
        <v>44210</v>
      </c>
      <c r="AO19" s="707">
        <v>73242</v>
      </c>
      <c r="AP19" s="710"/>
      <c r="AQ19" s="280"/>
      <c r="AR19" s="168"/>
      <c r="AS19" s="515"/>
      <c r="AT19" s="12"/>
      <c r="AU19" s="693"/>
      <c r="AV19" s="8">
        <f t="shared" si="0"/>
        <v>317254</v>
      </c>
      <c r="AW19" s="8">
        <f t="shared" si="1"/>
        <v>139380</v>
      </c>
      <c r="AX19" s="12"/>
      <c r="AY19" s="17"/>
      <c r="AZ19" s="8">
        <f t="shared" si="2"/>
        <v>317254</v>
      </c>
      <c r="BA19" s="692">
        <f t="shared" si="3"/>
        <v>139380</v>
      </c>
    </row>
    <row r="20" spans="1:53" ht="28.5" x14ac:dyDescent="0.3">
      <c r="A20" s="591" t="s">
        <v>124</v>
      </c>
      <c r="B20" s="39"/>
      <c r="C20" s="736">
        <v>13842</v>
      </c>
      <c r="D20" s="12"/>
      <c r="E20" s="693"/>
      <c r="F20" s="12"/>
      <c r="G20" s="693"/>
      <c r="H20" s="12"/>
      <c r="I20" s="515"/>
      <c r="J20" s="12"/>
      <c r="K20" s="356"/>
      <c r="L20" s="14"/>
      <c r="M20" s="693"/>
      <c r="N20" s="12"/>
      <c r="O20" s="356"/>
      <c r="P20" s="12"/>
      <c r="Q20" s="356"/>
      <c r="R20" s="12"/>
      <c r="S20" s="15">
        <v>2315</v>
      </c>
      <c r="T20" s="14"/>
      <c r="U20" s="693"/>
      <c r="V20" s="12"/>
      <c r="W20" s="356"/>
      <c r="X20" s="14"/>
      <c r="Y20" s="729"/>
      <c r="Z20" s="40"/>
      <c r="AA20" s="727"/>
      <c r="AB20" s="12"/>
      <c r="AC20" s="515"/>
      <c r="AD20" s="12"/>
      <c r="AE20" s="693">
        <v>18750</v>
      </c>
      <c r="AF20" s="12"/>
      <c r="AG20" s="515">
        <v>67197</v>
      </c>
      <c r="AH20" s="12"/>
      <c r="AI20" s="693"/>
      <c r="AJ20" s="12"/>
      <c r="AK20" s="693"/>
      <c r="AL20" s="718"/>
      <c r="AM20" s="693"/>
      <c r="AN20" s="221">
        <v>124648</v>
      </c>
      <c r="AO20" s="707">
        <v>110154</v>
      </c>
      <c r="AP20" s="710">
        <v>600</v>
      </c>
      <c r="AQ20" s="280"/>
      <c r="AR20" s="168">
        <v>8232</v>
      </c>
      <c r="AS20" s="515">
        <v>7605</v>
      </c>
      <c r="AT20" s="12">
        <v>3174</v>
      </c>
      <c r="AU20" s="693">
        <v>194</v>
      </c>
      <c r="AV20" s="8">
        <f t="shared" si="0"/>
        <v>136654</v>
      </c>
      <c r="AW20" s="8">
        <f t="shared" si="1"/>
        <v>220057</v>
      </c>
      <c r="AX20" s="12"/>
      <c r="AY20" s="17"/>
      <c r="AZ20" s="8">
        <f t="shared" si="2"/>
        <v>136654</v>
      </c>
      <c r="BA20" s="692">
        <f t="shared" si="3"/>
        <v>220057</v>
      </c>
    </row>
    <row r="21" spans="1:53" x14ac:dyDescent="0.3">
      <c r="A21" s="591" t="s">
        <v>125</v>
      </c>
      <c r="B21" s="8"/>
      <c r="C21" s="736"/>
      <c r="D21" s="20"/>
      <c r="E21" s="693"/>
      <c r="F21" s="20"/>
      <c r="G21" s="693"/>
      <c r="H21" s="20"/>
      <c r="I21" s="515"/>
      <c r="J21" s="20"/>
      <c r="K21" s="356"/>
      <c r="L21" s="22"/>
      <c r="M21" s="693"/>
      <c r="N21" s="20"/>
      <c r="O21" s="356"/>
      <c r="P21" s="20">
        <v>8454</v>
      </c>
      <c r="Q21" s="356">
        <v>1221</v>
      </c>
      <c r="R21" s="20"/>
      <c r="S21" s="15"/>
      <c r="T21" s="22"/>
      <c r="U21" s="693"/>
      <c r="V21" s="20"/>
      <c r="W21" s="356"/>
      <c r="X21" s="22"/>
      <c r="Y21" s="729"/>
      <c r="Z21" s="40"/>
      <c r="AA21" s="727"/>
      <c r="AB21" s="20">
        <v>427</v>
      </c>
      <c r="AC21" s="515"/>
      <c r="AD21" s="724"/>
      <c r="AE21" s="693"/>
      <c r="AF21" s="20"/>
      <c r="AG21" s="515"/>
      <c r="AH21" s="20"/>
      <c r="AI21" s="606"/>
      <c r="AJ21" s="20"/>
      <c r="AK21" s="693"/>
      <c r="AL21" s="718"/>
      <c r="AM21" s="693"/>
      <c r="AN21" s="222"/>
      <c r="AO21" s="707"/>
      <c r="AP21" s="710"/>
      <c r="AQ21" s="280"/>
      <c r="AR21" s="168"/>
      <c r="AS21" s="515"/>
      <c r="AT21" s="20">
        <v>1053</v>
      </c>
      <c r="AU21" s="693">
        <v>-2</v>
      </c>
      <c r="AV21" s="8">
        <f t="shared" si="0"/>
        <v>9934</v>
      </c>
      <c r="AW21" s="8">
        <f t="shared" si="1"/>
        <v>1219</v>
      </c>
      <c r="AX21" s="20"/>
      <c r="AY21" s="17"/>
      <c r="AZ21" s="8">
        <f t="shared" si="2"/>
        <v>9934</v>
      </c>
      <c r="BA21" s="692">
        <f t="shared" si="3"/>
        <v>1219</v>
      </c>
    </row>
    <row r="22" spans="1:53" ht="28.5" x14ac:dyDescent="0.3">
      <c r="A22" s="591" t="s">
        <v>126</v>
      </c>
      <c r="B22" s="39">
        <v>1268044</v>
      </c>
      <c r="C22" s="736">
        <v>1205242</v>
      </c>
      <c r="D22" s="12">
        <v>478200</v>
      </c>
      <c r="E22" s="693">
        <v>433204</v>
      </c>
      <c r="F22" s="12"/>
      <c r="G22" s="693">
        <v>113285</v>
      </c>
      <c r="H22" s="12">
        <v>2942635</v>
      </c>
      <c r="I22" s="515">
        <v>589503</v>
      </c>
      <c r="J22" s="12"/>
      <c r="K22" s="356"/>
      <c r="L22" s="14">
        <f>47+1247459+117421+17408</f>
        <v>1382335</v>
      </c>
      <c r="M22" s="693">
        <f>3089+1838+26742+17740</f>
        <v>49409</v>
      </c>
      <c r="N22" s="238">
        <v>16406</v>
      </c>
      <c r="O22" s="356">
        <v>253402</v>
      </c>
      <c r="P22" s="12">
        <v>1450979</v>
      </c>
      <c r="Q22" s="356">
        <v>1419691</v>
      </c>
      <c r="R22" s="12">
        <v>813992</v>
      </c>
      <c r="S22" s="15">
        <v>1082809</v>
      </c>
      <c r="T22" s="14">
        <v>291228</v>
      </c>
      <c r="U22" s="693">
        <v>513300</v>
      </c>
      <c r="V22" s="12">
        <v>73996</v>
      </c>
      <c r="W22" s="356">
        <v>211300</v>
      </c>
      <c r="X22" s="14"/>
      <c r="Y22" s="729">
        <v>717361</v>
      </c>
      <c r="Z22" s="40"/>
      <c r="AA22" s="727"/>
      <c r="AB22" s="12">
        <v>863177</v>
      </c>
      <c r="AC22" s="515">
        <v>646328</v>
      </c>
      <c r="AD22" s="12">
        <v>21690</v>
      </c>
      <c r="AE22" s="693">
        <v>57198</v>
      </c>
      <c r="AF22" s="12">
        <v>1199285</v>
      </c>
      <c r="AG22" s="515">
        <v>292752</v>
      </c>
      <c r="AH22" s="12">
        <v>498988</v>
      </c>
      <c r="AI22" s="693">
        <v>247502</v>
      </c>
      <c r="AJ22" s="12">
        <v>413898</v>
      </c>
      <c r="AK22" s="693">
        <v>277992</v>
      </c>
      <c r="AL22" s="718"/>
      <c r="AM22" s="693"/>
      <c r="AN22" s="222"/>
      <c r="AO22" s="707"/>
      <c r="AP22" s="710">
        <v>7492</v>
      </c>
      <c r="AQ22" s="280">
        <v>503</v>
      </c>
      <c r="AR22" s="168">
        <v>761542</v>
      </c>
      <c r="AS22" s="515">
        <f>131384+16790+109333</f>
        <v>257507</v>
      </c>
      <c r="AT22" s="12">
        <v>1590647</v>
      </c>
      <c r="AU22" s="693">
        <v>1478650</v>
      </c>
      <c r="AV22" s="8">
        <f t="shared" si="0"/>
        <v>14074534</v>
      </c>
      <c r="AW22" s="8">
        <f t="shared" si="1"/>
        <v>9846938</v>
      </c>
      <c r="AX22" s="168"/>
      <c r="AY22" s="17"/>
      <c r="AZ22" s="8">
        <f t="shared" si="2"/>
        <v>14074534</v>
      </c>
      <c r="BA22" s="692">
        <f t="shared" si="3"/>
        <v>9846938</v>
      </c>
    </row>
    <row r="23" spans="1:53" ht="28.5" x14ac:dyDescent="0.3">
      <c r="A23" s="591" t="s">
        <v>127</v>
      </c>
      <c r="B23" s="39"/>
      <c r="C23" s="736"/>
      <c r="D23" s="12"/>
      <c r="E23" s="693"/>
      <c r="F23" s="12"/>
      <c r="G23" s="693"/>
      <c r="H23" s="12"/>
      <c r="I23" s="515"/>
      <c r="J23" s="12"/>
      <c r="K23" s="356"/>
      <c r="L23" s="14"/>
      <c r="M23" s="693"/>
      <c r="N23" s="12"/>
      <c r="O23" s="356"/>
      <c r="P23" s="12"/>
      <c r="Q23" s="356"/>
      <c r="R23" s="12"/>
      <c r="S23" s="15"/>
      <c r="T23" s="14"/>
      <c r="U23" s="693"/>
      <c r="V23" s="12"/>
      <c r="W23" s="356"/>
      <c r="X23" s="14"/>
      <c r="Y23" s="729"/>
      <c r="Z23" s="40"/>
      <c r="AA23" s="727"/>
      <c r="AB23" s="12"/>
      <c r="AC23" s="515"/>
      <c r="AD23" s="12"/>
      <c r="AE23" s="693"/>
      <c r="AF23" s="12"/>
      <c r="AG23" s="515"/>
      <c r="AH23" s="12"/>
      <c r="AI23" s="693"/>
      <c r="AJ23" s="12"/>
      <c r="AK23" s="693"/>
      <c r="AL23" s="718"/>
      <c r="AM23" s="693"/>
      <c r="AN23" s="220"/>
      <c r="AO23" s="707"/>
      <c r="AP23" s="710"/>
      <c r="AQ23" s="280"/>
      <c r="AR23" s="168"/>
      <c r="AS23" s="515"/>
      <c r="AT23" s="12"/>
      <c r="AU23" s="693"/>
      <c r="AV23" s="8">
        <f t="shared" si="0"/>
        <v>0</v>
      </c>
      <c r="AW23" s="8">
        <f t="shared" si="1"/>
        <v>0</v>
      </c>
      <c r="AX23" s="168"/>
      <c r="AY23" s="17"/>
      <c r="AZ23" s="8">
        <f t="shared" si="2"/>
        <v>0</v>
      </c>
      <c r="BA23" s="692">
        <f t="shared" si="3"/>
        <v>0</v>
      </c>
    </row>
    <row r="24" spans="1:53" ht="28.5" x14ac:dyDescent="0.3">
      <c r="A24" s="591" t="s">
        <v>128</v>
      </c>
      <c r="B24" s="39"/>
      <c r="C24" s="736"/>
      <c r="D24" s="12"/>
      <c r="E24" s="693"/>
      <c r="F24" s="12"/>
      <c r="G24" s="693">
        <v>19813</v>
      </c>
      <c r="H24" s="12">
        <v>-414969</v>
      </c>
      <c r="I24" s="515">
        <v>822361</v>
      </c>
      <c r="J24" s="12"/>
      <c r="K24" s="356">
        <v>8000</v>
      </c>
      <c r="L24" s="14"/>
      <c r="M24" s="693"/>
      <c r="N24" s="12">
        <v>169500</v>
      </c>
      <c r="O24" s="356">
        <v>1540717</v>
      </c>
      <c r="P24" s="12"/>
      <c r="Q24" s="356">
        <v>272110</v>
      </c>
      <c r="R24" s="12"/>
      <c r="S24" s="15"/>
      <c r="T24" s="14">
        <v>35000</v>
      </c>
      <c r="U24" s="693"/>
      <c r="V24" s="12">
        <v>-79940</v>
      </c>
      <c r="W24" s="356">
        <v>157721</v>
      </c>
      <c r="X24" s="14">
        <v>285843</v>
      </c>
      <c r="Y24" s="729"/>
      <c r="Z24" s="40">
        <v>3918</v>
      </c>
      <c r="AA24" s="727">
        <v>-6707</v>
      </c>
      <c r="AB24" s="12"/>
      <c r="AC24" s="515">
        <v>975297</v>
      </c>
      <c r="AD24" s="12">
        <v>3349</v>
      </c>
      <c r="AE24" s="693">
        <v>-75</v>
      </c>
      <c r="AF24" s="12">
        <v>8001</v>
      </c>
      <c r="AG24" s="515">
        <v>79500</v>
      </c>
      <c r="AH24" s="12"/>
      <c r="AI24" s="693"/>
      <c r="AJ24" s="12"/>
      <c r="AK24" s="693">
        <v>14900</v>
      </c>
      <c r="AL24" s="718"/>
      <c r="AM24" s="693"/>
      <c r="AN24" s="221">
        <v>-198130</v>
      </c>
      <c r="AO24" s="707">
        <v>722993</v>
      </c>
      <c r="AP24" s="710"/>
      <c r="AQ24" s="280">
        <v>33325</v>
      </c>
      <c r="AR24" s="168">
        <v>116000</v>
      </c>
      <c r="AS24" s="515">
        <v>252800</v>
      </c>
      <c r="AT24" s="12"/>
      <c r="AU24" s="693"/>
      <c r="AV24" s="8">
        <f t="shared" si="0"/>
        <v>-71428</v>
      </c>
      <c r="AW24" s="8">
        <f t="shared" si="1"/>
        <v>4892755</v>
      </c>
      <c r="AX24" s="168"/>
      <c r="AY24" s="17"/>
      <c r="AZ24" s="8">
        <f t="shared" si="2"/>
        <v>-71428</v>
      </c>
      <c r="BA24" s="692">
        <f t="shared" si="3"/>
        <v>4892755</v>
      </c>
    </row>
    <row r="25" spans="1:53" ht="28.5" x14ac:dyDescent="0.3">
      <c r="A25" s="591" t="s">
        <v>129</v>
      </c>
      <c r="B25" s="39"/>
      <c r="C25" s="736"/>
      <c r="D25" s="12"/>
      <c r="E25" s="693">
        <v>-200</v>
      </c>
      <c r="F25" s="12"/>
      <c r="G25" s="693"/>
      <c r="H25" s="12"/>
      <c r="I25" s="515"/>
      <c r="J25" s="12"/>
      <c r="K25" s="356"/>
      <c r="L25" s="14">
        <v>-48</v>
      </c>
      <c r="M25" s="693">
        <v>55</v>
      </c>
      <c r="N25" s="12"/>
      <c r="O25" s="356"/>
      <c r="P25" s="12"/>
      <c r="Q25" s="356"/>
      <c r="R25" s="12"/>
      <c r="S25" s="15">
        <v>51000</v>
      </c>
      <c r="T25" s="14"/>
      <c r="U25" s="693"/>
      <c r="V25" s="12"/>
      <c r="W25" s="356"/>
      <c r="X25" s="14">
        <v>10130</v>
      </c>
      <c r="Y25" s="729"/>
      <c r="Z25" s="40"/>
      <c r="AA25" s="727"/>
      <c r="AB25" s="12"/>
      <c r="AC25" s="515">
        <v>837</v>
      </c>
      <c r="AD25" s="12"/>
      <c r="AE25" s="693"/>
      <c r="AF25" s="12"/>
      <c r="AG25" s="515"/>
      <c r="AH25" s="12"/>
      <c r="AI25" s="693"/>
      <c r="AJ25" s="12"/>
      <c r="AK25" s="693"/>
      <c r="AL25" s="718"/>
      <c r="AM25" s="693"/>
      <c r="AN25" s="222"/>
      <c r="AO25" s="707"/>
      <c r="AP25" s="710"/>
      <c r="AQ25" s="280"/>
      <c r="AR25" s="168">
        <v>1565</v>
      </c>
      <c r="AS25" s="515">
        <v>924</v>
      </c>
      <c r="AT25" s="12">
        <v>3022</v>
      </c>
      <c r="AU25" s="693">
        <v>4240</v>
      </c>
      <c r="AV25" s="8">
        <f t="shared" si="0"/>
        <v>14669</v>
      </c>
      <c r="AW25" s="8">
        <f t="shared" si="1"/>
        <v>56856</v>
      </c>
      <c r="AX25" s="168"/>
      <c r="AY25" s="17"/>
      <c r="AZ25" s="8">
        <f t="shared" si="2"/>
        <v>14669</v>
      </c>
      <c r="BA25" s="692">
        <f t="shared" si="3"/>
        <v>56856</v>
      </c>
    </row>
    <row r="26" spans="1:53" x14ac:dyDescent="0.3">
      <c r="A26" s="591" t="s">
        <v>182</v>
      </c>
      <c r="B26" s="39"/>
      <c r="C26" s="736"/>
      <c r="D26" s="12"/>
      <c r="E26" s="693"/>
      <c r="F26" s="12"/>
      <c r="G26" s="693"/>
      <c r="H26" s="12"/>
      <c r="I26" s="515"/>
      <c r="J26" s="12"/>
      <c r="K26" s="356"/>
      <c r="L26" s="14"/>
      <c r="M26" s="693">
        <v>474243</v>
      </c>
      <c r="N26" s="12">
        <v>123454</v>
      </c>
      <c r="O26" s="356">
        <v>248629</v>
      </c>
      <c r="P26" s="12"/>
      <c r="Q26" s="356"/>
      <c r="R26" s="12"/>
      <c r="S26" s="15"/>
      <c r="T26" s="14"/>
      <c r="U26" s="693"/>
      <c r="V26" s="12"/>
      <c r="W26" s="356"/>
      <c r="X26" s="14">
        <v>7057841</v>
      </c>
      <c r="Y26" s="729"/>
      <c r="Z26" s="40"/>
      <c r="AA26" s="727"/>
      <c r="AB26" s="12"/>
      <c r="AC26" s="515"/>
      <c r="AD26" s="12"/>
      <c r="AE26" s="693"/>
      <c r="AF26" s="12"/>
      <c r="AG26" s="515"/>
      <c r="AH26" s="12"/>
      <c r="AI26" s="693"/>
      <c r="AJ26" s="12"/>
      <c r="AK26" s="693"/>
      <c r="AL26" s="718"/>
      <c r="AM26" s="693"/>
      <c r="AN26" s="222"/>
      <c r="AO26" s="707"/>
      <c r="AP26" s="254"/>
      <c r="AQ26" s="280"/>
      <c r="AR26" s="168"/>
      <c r="AS26" s="515"/>
      <c r="AT26" s="12"/>
      <c r="AU26" s="693"/>
      <c r="AV26" s="8"/>
      <c r="AW26" s="8"/>
      <c r="AX26" s="168"/>
      <c r="AY26" s="17"/>
      <c r="AZ26" s="8"/>
      <c r="BA26" s="692"/>
    </row>
    <row r="27" spans="1:53" s="642" customFormat="1" x14ac:dyDescent="0.3">
      <c r="A27" s="639" t="s">
        <v>277</v>
      </c>
      <c r="B27" s="640">
        <f t="shared" ref="B27:AE27" si="6">SUM(B14:B25)</f>
        <v>1465869</v>
      </c>
      <c r="C27" s="640">
        <f t="shared" si="6"/>
        <v>1529675</v>
      </c>
      <c r="D27" s="640">
        <f>SUM(D14:D26)</f>
        <v>520584</v>
      </c>
      <c r="E27" s="640">
        <f t="shared" si="6"/>
        <v>510652</v>
      </c>
      <c r="F27" s="640">
        <f t="shared" si="6"/>
        <v>0</v>
      </c>
      <c r="G27" s="640">
        <f t="shared" si="6"/>
        <v>178107</v>
      </c>
      <c r="H27" s="640">
        <f t="shared" si="6"/>
        <v>2705579</v>
      </c>
      <c r="I27" s="775">
        <f t="shared" si="6"/>
        <v>1614375</v>
      </c>
      <c r="J27" s="640">
        <f t="shared" si="6"/>
        <v>69519</v>
      </c>
      <c r="K27" s="641">
        <f t="shared" si="6"/>
        <v>63601</v>
      </c>
      <c r="L27" s="777">
        <f>SUM(L14:L26)</f>
        <v>1409450</v>
      </c>
      <c r="M27" s="775">
        <f>SUM(M14:M26)</f>
        <v>559441</v>
      </c>
      <c r="N27" s="640">
        <f>SUM(N14:N26)</f>
        <v>397086</v>
      </c>
      <c r="O27" s="641">
        <f>SUM(O14:O26)</f>
        <v>2610737</v>
      </c>
      <c r="P27" s="640">
        <f t="shared" si="6"/>
        <v>1462797</v>
      </c>
      <c r="Q27" s="641">
        <f t="shared" si="6"/>
        <v>1697154</v>
      </c>
      <c r="R27" s="640">
        <f t="shared" si="6"/>
        <v>831176</v>
      </c>
      <c r="S27" s="641">
        <f t="shared" si="6"/>
        <v>1157034</v>
      </c>
      <c r="T27" s="777">
        <f t="shared" si="6"/>
        <v>343970</v>
      </c>
      <c r="U27" s="775">
        <f t="shared" si="6"/>
        <v>551831</v>
      </c>
      <c r="V27" s="640">
        <f t="shared" si="6"/>
        <v>206677</v>
      </c>
      <c r="W27" s="641">
        <f t="shared" si="6"/>
        <v>457471</v>
      </c>
      <c r="X27" s="777">
        <v>7581570</v>
      </c>
      <c r="Y27" s="640">
        <f t="shared" si="6"/>
        <v>923039</v>
      </c>
      <c r="Z27" s="640">
        <f t="shared" si="6"/>
        <v>54923</v>
      </c>
      <c r="AA27" s="640">
        <f t="shared" si="6"/>
        <v>54465</v>
      </c>
      <c r="AB27" s="640">
        <f>SUM(AB14:AB26)</f>
        <v>933237</v>
      </c>
      <c r="AC27" s="640">
        <f t="shared" si="6"/>
        <v>1691415</v>
      </c>
      <c r="AD27" s="640">
        <f t="shared" si="6"/>
        <v>76387</v>
      </c>
      <c r="AE27" s="640">
        <f t="shared" si="6"/>
        <v>96658</v>
      </c>
      <c r="AF27" s="640">
        <f>SUM(AF14:AF26)</f>
        <v>1413471</v>
      </c>
      <c r="AG27" s="640">
        <f>SUM(AG14:AG26)</f>
        <v>505587</v>
      </c>
      <c r="AH27" s="640">
        <f t="shared" ref="AH27:AS27" si="7">SUM(AH14:AH25)</f>
        <v>571998</v>
      </c>
      <c r="AI27" s="715">
        <f t="shared" si="7"/>
        <v>545105</v>
      </c>
      <c r="AJ27" s="640">
        <f t="shared" si="7"/>
        <v>530471</v>
      </c>
      <c r="AK27" s="640">
        <f t="shared" si="7"/>
        <v>685689</v>
      </c>
      <c r="AL27" s="640">
        <f t="shared" si="7"/>
        <v>0</v>
      </c>
      <c r="AM27" s="715">
        <f t="shared" si="7"/>
        <v>0</v>
      </c>
      <c r="AN27" s="640">
        <f t="shared" si="7"/>
        <v>-18868</v>
      </c>
      <c r="AO27" s="640">
        <f t="shared" si="7"/>
        <v>912343</v>
      </c>
      <c r="AP27" s="641">
        <f t="shared" si="7"/>
        <v>11692</v>
      </c>
      <c r="AQ27" s="641">
        <f t="shared" si="7"/>
        <v>41644</v>
      </c>
      <c r="AR27" s="640">
        <f t="shared" si="7"/>
        <v>929139</v>
      </c>
      <c r="AS27" s="640">
        <f t="shared" si="7"/>
        <v>550468</v>
      </c>
      <c r="AT27" s="640">
        <v>1653080</v>
      </c>
      <c r="AU27" s="640">
        <v>1478650</v>
      </c>
      <c r="AV27" s="640">
        <f t="shared" ref="AV27:AW29" si="8">SUM(B27+D27+F27+H27+J27+L27+N27+P27+R27+T27+V27+X27+Z27+AB27+AD27+AF27+AH27+AJ27+AL27+AN27+AP27+AR27+AT27)</f>
        <v>23149807</v>
      </c>
      <c r="AW27" s="640">
        <f t="shared" si="8"/>
        <v>18415141</v>
      </c>
      <c r="AX27" s="640">
        <f>SUM(AX14:AX25)</f>
        <v>0</v>
      </c>
      <c r="AY27" s="640">
        <f>SUM(AY14:AY25)</f>
        <v>2196</v>
      </c>
      <c r="AZ27" s="640">
        <f t="shared" ref="AZ27:BA29" si="9">AV27+AX27</f>
        <v>23149807</v>
      </c>
      <c r="BA27" s="641">
        <f t="shared" si="9"/>
        <v>18417337</v>
      </c>
    </row>
    <row r="28" spans="1:53" ht="28.5" x14ac:dyDescent="0.3">
      <c r="A28" s="591" t="s">
        <v>130</v>
      </c>
      <c r="B28" s="39">
        <v>513663</v>
      </c>
      <c r="C28" s="736">
        <v>545428</v>
      </c>
      <c r="D28" s="12">
        <v>-496754</v>
      </c>
      <c r="E28" s="693">
        <v>-464019</v>
      </c>
      <c r="F28" s="12"/>
      <c r="G28" s="693">
        <v>73673</v>
      </c>
      <c r="H28" s="12">
        <v>2834787</v>
      </c>
      <c r="I28" s="515">
        <v>3185179</v>
      </c>
      <c r="J28" s="12">
        <v>-727108</v>
      </c>
      <c r="K28" s="356">
        <v>-659539</v>
      </c>
      <c r="L28" s="14">
        <v>-825886</v>
      </c>
      <c r="M28" s="693">
        <v>10617</v>
      </c>
      <c r="N28" s="12">
        <v>989370</v>
      </c>
      <c r="O28" s="356">
        <v>-1411896</v>
      </c>
      <c r="P28" s="12">
        <v>-1303138</v>
      </c>
      <c r="Q28" s="356">
        <v>-1358101</v>
      </c>
      <c r="R28" s="12">
        <v>-264891</v>
      </c>
      <c r="S28" s="15">
        <v>-601511</v>
      </c>
      <c r="T28" s="14">
        <v>-238267</v>
      </c>
      <c r="U28" s="693">
        <v>-448733</v>
      </c>
      <c r="V28" s="12">
        <v>7774140</v>
      </c>
      <c r="W28" s="356">
        <v>7636491</v>
      </c>
      <c r="X28" s="14">
        <v>6396403</v>
      </c>
      <c r="Y28" s="729">
        <v>5862013</v>
      </c>
      <c r="Z28" s="40">
        <v>171038</v>
      </c>
      <c r="AA28" s="727">
        <v>180960</v>
      </c>
      <c r="AB28" s="12">
        <v>-475253</v>
      </c>
      <c r="AC28" s="515">
        <v>-1384305</v>
      </c>
      <c r="AD28" s="12">
        <v>1131724</v>
      </c>
      <c r="AE28" s="693">
        <v>913940</v>
      </c>
      <c r="AF28" s="12">
        <v>1652090</v>
      </c>
      <c r="AG28" s="515">
        <v>1698157</v>
      </c>
      <c r="AH28" s="12">
        <v>331133</v>
      </c>
      <c r="AI28" s="693">
        <v>180770</v>
      </c>
      <c r="AJ28" s="12">
        <v>-67682</v>
      </c>
      <c r="AK28" s="693">
        <v>156858</v>
      </c>
      <c r="AL28" s="718"/>
      <c r="AM28" s="693"/>
      <c r="AN28" s="221">
        <v>6872469</v>
      </c>
      <c r="AO28" s="707">
        <v>4970540</v>
      </c>
      <c r="AP28" s="710">
        <v>156794</v>
      </c>
      <c r="AQ28" s="280">
        <v>-155</v>
      </c>
      <c r="AR28" s="168">
        <v>-132715</v>
      </c>
      <c r="AS28" s="515">
        <v>102922</v>
      </c>
      <c r="AT28" s="12">
        <v>-674392</v>
      </c>
      <c r="AU28" s="693">
        <v>-568024</v>
      </c>
      <c r="AV28" s="8">
        <f t="shared" si="8"/>
        <v>23617525</v>
      </c>
      <c r="AW28" s="8">
        <f t="shared" si="8"/>
        <v>18621265</v>
      </c>
      <c r="AX28" s="168"/>
      <c r="AY28" s="17">
        <v>108046</v>
      </c>
      <c r="AZ28" s="8">
        <f t="shared" si="9"/>
        <v>23617525</v>
      </c>
      <c r="BA28" s="692">
        <f t="shared" si="9"/>
        <v>18729311</v>
      </c>
    </row>
    <row r="29" spans="1:53" x14ac:dyDescent="0.3">
      <c r="A29" s="591" t="s">
        <v>131</v>
      </c>
      <c r="B29" s="39">
        <v>97409</v>
      </c>
      <c r="C29" s="736"/>
      <c r="D29" s="12"/>
      <c r="E29" s="693"/>
      <c r="F29" s="12"/>
      <c r="G29" s="693"/>
      <c r="H29" s="12"/>
      <c r="I29" s="515"/>
      <c r="J29" s="12"/>
      <c r="K29" s="356"/>
      <c r="L29" s="14"/>
      <c r="M29" s="693"/>
      <c r="N29" s="12"/>
      <c r="O29" s="356"/>
      <c r="P29" s="12"/>
      <c r="Q29" s="356"/>
      <c r="R29" s="12"/>
      <c r="S29" s="15"/>
      <c r="T29" s="14"/>
      <c r="U29" s="693"/>
      <c r="V29" s="12">
        <v>2342</v>
      </c>
      <c r="W29" s="356">
        <v>303448</v>
      </c>
      <c r="X29" s="14"/>
      <c r="Y29" s="729"/>
      <c r="Z29" s="40">
        <v>24903</v>
      </c>
      <c r="AA29" s="727">
        <v>24326</v>
      </c>
      <c r="AB29" s="12"/>
      <c r="AC29" s="515"/>
      <c r="AD29" s="12"/>
      <c r="AE29" s="693"/>
      <c r="AF29" s="12">
        <v>-319924</v>
      </c>
      <c r="AG29" s="515">
        <v>159690</v>
      </c>
      <c r="AH29" s="12">
        <v>48213</v>
      </c>
      <c r="AI29" s="693">
        <v>14077</v>
      </c>
      <c r="AJ29" s="12"/>
      <c r="AK29" s="693"/>
      <c r="AL29" s="718"/>
      <c r="AM29" s="693"/>
      <c r="AN29" s="220"/>
      <c r="AO29" s="707"/>
      <c r="AP29" s="710"/>
      <c r="AQ29" s="280"/>
      <c r="AR29" s="168"/>
      <c r="AS29" s="515"/>
      <c r="AT29" s="12">
        <v>-105170</v>
      </c>
      <c r="AU29" s="693">
        <v>-102851</v>
      </c>
      <c r="AV29" s="8">
        <f t="shared" si="8"/>
        <v>-252227</v>
      </c>
      <c r="AW29" s="8">
        <f t="shared" si="8"/>
        <v>398690</v>
      </c>
      <c r="AX29" s="168"/>
      <c r="AY29" s="17">
        <v>37756</v>
      </c>
      <c r="AZ29" s="8">
        <f t="shared" si="9"/>
        <v>-252227</v>
      </c>
      <c r="BA29" s="692">
        <f t="shared" si="9"/>
        <v>436446</v>
      </c>
    </row>
    <row r="30" spans="1:53" ht="28.5" x14ac:dyDescent="0.3">
      <c r="A30" s="591" t="s">
        <v>272</v>
      </c>
      <c r="B30" s="39"/>
      <c r="C30" s="736"/>
      <c r="D30" s="12"/>
      <c r="E30" s="693"/>
      <c r="F30" s="12"/>
      <c r="G30" s="693"/>
      <c r="H30" s="12">
        <v>557314</v>
      </c>
      <c r="I30" s="515">
        <v>495037</v>
      </c>
      <c r="J30" s="12"/>
      <c r="K30" s="356"/>
      <c r="L30" s="14"/>
      <c r="M30" s="693"/>
      <c r="N30" s="12">
        <v>-128618</v>
      </c>
      <c r="O30" s="356"/>
      <c r="P30" s="12"/>
      <c r="Q30" s="356"/>
      <c r="R30" s="12"/>
      <c r="S30" s="15"/>
      <c r="T30" s="14"/>
      <c r="U30" s="693"/>
      <c r="V30" s="12"/>
      <c r="W30" s="356"/>
      <c r="X30" s="14">
        <v>-503208</v>
      </c>
      <c r="Y30" s="729">
        <v>-47195</v>
      </c>
      <c r="Z30" s="40"/>
      <c r="AA30" s="727"/>
      <c r="AB30" s="12"/>
      <c r="AC30" s="515"/>
      <c r="AD30" s="12">
        <v>173855</v>
      </c>
      <c r="AE30" s="693">
        <v>148755</v>
      </c>
      <c r="AF30" s="12"/>
      <c r="AG30" s="515"/>
      <c r="AH30" s="12"/>
      <c r="AI30" s="693"/>
      <c r="AJ30" s="12"/>
      <c r="AK30" s="693"/>
      <c r="AL30" s="718"/>
      <c r="AM30" s="693"/>
      <c r="AN30" s="220"/>
      <c r="AO30" s="707"/>
      <c r="AP30" s="710">
        <v>23920</v>
      </c>
      <c r="AQ30" s="280">
        <v>1578</v>
      </c>
      <c r="AR30" s="168"/>
      <c r="AS30" s="515"/>
      <c r="AT30" s="12"/>
      <c r="AU30" s="693"/>
      <c r="AV30" s="8"/>
      <c r="AW30" s="8"/>
      <c r="AX30" s="168"/>
      <c r="AY30" s="17">
        <v>70290</v>
      </c>
      <c r="AZ30" s="8"/>
      <c r="BA30" s="692"/>
    </row>
    <row r="31" spans="1:53" ht="28.5" x14ac:dyDescent="0.3">
      <c r="A31" s="591" t="s">
        <v>132</v>
      </c>
      <c r="B31" s="39"/>
      <c r="C31" s="736"/>
      <c r="D31" s="12"/>
      <c r="E31" s="693"/>
      <c r="F31" s="12"/>
      <c r="G31" s="693"/>
      <c r="H31" s="12"/>
      <c r="I31" s="515"/>
      <c r="J31" s="12"/>
      <c r="K31" s="356"/>
      <c r="L31" s="14"/>
      <c r="M31" s="693"/>
      <c r="N31" s="12"/>
      <c r="O31" s="356"/>
      <c r="P31" s="12"/>
      <c r="Q31" s="356"/>
      <c r="R31" s="12">
        <v>-3223</v>
      </c>
      <c r="S31" s="15">
        <v>-26985</v>
      </c>
      <c r="T31" s="14"/>
      <c r="U31" s="693"/>
      <c r="V31" s="12"/>
      <c r="W31" s="356"/>
      <c r="X31" s="14">
        <v>7</v>
      </c>
      <c r="Y31" s="729"/>
      <c r="Z31" s="40"/>
      <c r="AA31" s="727"/>
      <c r="AB31" s="12"/>
      <c r="AC31" s="515"/>
      <c r="AD31" s="12"/>
      <c r="AE31" s="693"/>
      <c r="AF31" s="12"/>
      <c r="AG31" s="515"/>
      <c r="AH31" s="12"/>
      <c r="AI31" s="693"/>
      <c r="AJ31" s="12"/>
      <c r="AK31" s="693"/>
      <c r="AL31" s="718"/>
      <c r="AM31" s="693"/>
      <c r="AN31" s="220"/>
      <c r="AO31" s="707"/>
      <c r="AP31" s="710"/>
      <c r="AQ31" s="280"/>
      <c r="AR31" s="168"/>
      <c r="AS31" s="515"/>
      <c r="AT31" s="12"/>
      <c r="AU31" s="693"/>
      <c r="AV31" s="8">
        <f t="shared" ref="AV31:AV39" si="10">SUM(B31+D31+F31+H31+J31+L31+N31+P31+R31+T31+V31+X31+Z31+AB31+AD31+AF31+AH31+AJ31+AL31+AN31+AP31+AR31+AT31)</f>
        <v>-3216</v>
      </c>
      <c r="AW31" s="8">
        <f t="shared" ref="AW31:AW39" si="11">SUM(C31+E31+G31+I31+K31+M31+O31+Q31+S31+U31+W31+Y31+AA31+AC31+AE31+AG31+AI31+AK31+AM31+AO31+AQ31+AS31+AU31)</f>
        <v>-26985</v>
      </c>
      <c r="AX31" s="168"/>
      <c r="AY31" s="17"/>
      <c r="AZ31" s="8">
        <f t="shared" ref="AZ31:AZ39" si="12">AV31+AX31</f>
        <v>-3216</v>
      </c>
      <c r="BA31" s="692">
        <f t="shared" ref="BA31:BA39" si="13">AW31+AY31</f>
        <v>-26985</v>
      </c>
    </row>
    <row r="32" spans="1:53" x14ac:dyDescent="0.3">
      <c r="A32" s="591" t="s">
        <v>133</v>
      </c>
      <c r="B32" s="12"/>
      <c r="C32" s="736"/>
      <c r="D32" s="12"/>
      <c r="E32" s="693"/>
      <c r="F32" s="12"/>
      <c r="G32" s="693"/>
      <c r="H32" s="12"/>
      <c r="I32" s="515"/>
      <c r="J32" s="12"/>
      <c r="K32" s="356"/>
      <c r="L32" s="14"/>
      <c r="M32" s="693"/>
      <c r="N32" s="12"/>
      <c r="O32" s="356"/>
      <c r="P32" s="12"/>
      <c r="Q32" s="356"/>
      <c r="R32" s="12"/>
      <c r="S32" s="15"/>
      <c r="T32" s="14"/>
      <c r="U32" s="693"/>
      <c r="V32" s="12"/>
      <c r="W32" s="356"/>
      <c r="X32" s="14"/>
      <c r="Y32" s="729"/>
      <c r="Z32" s="40"/>
      <c r="AA32" s="727">
        <v>-24326</v>
      </c>
      <c r="AB32" s="12"/>
      <c r="AC32" s="515"/>
      <c r="AD32" s="12"/>
      <c r="AE32" s="693"/>
      <c r="AF32" s="12"/>
      <c r="AG32" s="515"/>
      <c r="AH32" s="12"/>
      <c r="AI32" s="693"/>
      <c r="AJ32" s="12"/>
      <c r="AK32" s="693"/>
      <c r="AL32" s="718"/>
      <c r="AM32" s="693"/>
      <c r="AN32" s="221">
        <v>-33720</v>
      </c>
      <c r="AO32" s="707">
        <v>-46920</v>
      </c>
      <c r="AP32" s="710"/>
      <c r="AQ32" s="280"/>
      <c r="AR32" s="168"/>
      <c r="AS32" s="515"/>
      <c r="AT32" s="12"/>
      <c r="AU32" s="693"/>
      <c r="AV32" s="8">
        <f t="shared" si="10"/>
        <v>-33720</v>
      </c>
      <c r="AW32" s="8">
        <f t="shared" si="11"/>
        <v>-71246</v>
      </c>
      <c r="AX32" s="168"/>
      <c r="AY32" s="17"/>
      <c r="AZ32" s="8">
        <f t="shared" si="12"/>
        <v>-33720</v>
      </c>
      <c r="BA32" s="692">
        <f t="shared" si="13"/>
        <v>-71246</v>
      </c>
    </row>
    <row r="33" spans="1:53" x14ac:dyDescent="0.3">
      <c r="A33" s="591" t="s">
        <v>134</v>
      </c>
      <c r="B33" s="39">
        <v>416254</v>
      </c>
      <c r="C33" s="736">
        <v>545428</v>
      </c>
      <c r="D33" s="12">
        <v>-496754</v>
      </c>
      <c r="E33" s="693">
        <v>-464019</v>
      </c>
      <c r="F33" s="12"/>
      <c r="G33" s="693">
        <f>G28</f>
        <v>73673</v>
      </c>
      <c r="H33" s="12">
        <v>2277473</v>
      </c>
      <c r="I33" s="515">
        <v>2690142</v>
      </c>
      <c r="J33" s="12">
        <f>J28</f>
        <v>-727108</v>
      </c>
      <c r="K33" s="356">
        <v>-659539</v>
      </c>
      <c r="L33" s="14">
        <v>-825886</v>
      </c>
      <c r="M33" s="693">
        <v>10617</v>
      </c>
      <c r="N33" s="12">
        <v>860752</v>
      </c>
      <c r="O33" s="356">
        <v>-1411896</v>
      </c>
      <c r="P33" s="12">
        <v>-1303138</v>
      </c>
      <c r="Q33" s="356">
        <v>-1358101</v>
      </c>
      <c r="R33" s="12">
        <v>-268114</v>
      </c>
      <c r="S33" s="15">
        <v>-628496</v>
      </c>
      <c r="T33" s="14">
        <f>T28</f>
        <v>-238267</v>
      </c>
      <c r="U33" s="693">
        <f>U28</f>
        <v>-448733</v>
      </c>
      <c r="V33" s="12">
        <v>7771798</v>
      </c>
      <c r="W33" s="356">
        <v>7333043</v>
      </c>
      <c r="X33" s="14">
        <v>5893202</v>
      </c>
      <c r="Y33" s="729">
        <v>5814818</v>
      </c>
      <c r="Z33" s="40">
        <v>146135</v>
      </c>
      <c r="AA33" s="727">
        <v>180960</v>
      </c>
      <c r="AB33" s="12">
        <v>-475253</v>
      </c>
      <c r="AC33" s="515">
        <v>-1384305</v>
      </c>
      <c r="AD33" s="12">
        <v>957869</v>
      </c>
      <c r="AE33" s="693">
        <v>765185</v>
      </c>
      <c r="AF33" s="12">
        <v>1972014</v>
      </c>
      <c r="AG33" s="515">
        <v>1538467</v>
      </c>
      <c r="AH33" s="12">
        <v>282920</v>
      </c>
      <c r="AI33" s="693">
        <v>166693</v>
      </c>
      <c r="AJ33" s="12">
        <v>-67682</v>
      </c>
      <c r="AK33" s="693">
        <v>156858</v>
      </c>
      <c r="AL33" s="718"/>
      <c r="AM33" s="693"/>
      <c r="AN33" s="221">
        <v>6906189</v>
      </c>
      <c r="AO33" s="707">
        <v>5017459</v>
      </c>
      <c r="AP33" s="710">
        <v>132874</v>
      </c>
      <c r="AQ33" s="280">
        <v>-1733</v>
      </c>
      <c r="AR33" s="168">
        <v>-132715</v>
      </c>
      <c r="AS33" s="515">
        <v>102922</v>
      </c>
      <c r="AT33" s="12">
        <v>-779562</v>
      </c>
      <c r="AU33" s="693">
        <v>-670875</v>
      </c>
      <c r="AV33" s="8">
        <f t="shared" si="10"/>
        <v>22303001</v>
      </c>
      <c r="AW33" s="8">
        <f t="shared" si="11"/>
        <v>17368568</v>
      </c>
      <c r="AX33" s="168"/>
      <c r="AY33" s="17"/>
      <c r="AZ33" s="8">
        <f t="shared" si="12"/>
        <v>22303001</v>
      </c>
      <c r="BA33" s="692">
        <f t="shared" si="13"/>
        <v>17368568</v>
      </c>
    </row>
    <row r="34" spans="1:53" x14ac:dyDescent="0.3">
      <c r="A34" s="592" t="s">
        <v>135</v>
      </c>
      <c r="B34" s="8"/>
      <c r="C34" s="736"/>
      <c r="D34" s="20"/>
      <c r="E34" s="693"/>
      <c r="F34" s="20"/>
      <c r="G34" s="693"/>
      <c r="H34" s="20"/>
      <c r="I34" s="515"/>
      <c r="J34" s="20"/>
      <c r="K34" s="356"/>
      <c r="L34" s="22"/>
      <c r="M34" s="693"/>
      <c r="N34" s="20"/>
      <c r="O34" s="356"/>
      <c r="P34" s="238"/>
      <c r="Q34" s="356"/>
      <c r="R34" s="20"/>
      <c r="S34" s="15"/>
      <c r="T34" s="22"/>
      <c r="U34" s="693"/>
      <c r="V34" s="20"/>
      <c r="W34" s="356"/>
      <c r="X34" s="22"/>
      <c r="Y34" s="729"/>
      <c r="Z34" s="40"/>
      <c r="AA34" s="727"/>
      <c r="AB34" s="20"/>
      <c r="AC34" s="515"/>
      <c r="AD34" s="724"/>
      <c r="AE34" s="693"/>
      <c r="AF34" s="20"/>
      <c r="AG34" s="515"/>
      <c r="AH34" s="20"/>
      <c r="AI34" s="606"/>
      <c r="AJ34" s="20"/>
      <c r="AK34" s="693"/>
      <c r="AL34" s="718"/>
      <c r="AM34" s="693"/>
      <c r="AN34" s="220"/>
      <c r="AO34" s="707"/>
      <c r="AP34" s="710"/>
      <c r="AQ34" s="280"/>
      <c r="AR34" s="168"/>
      <c r="AS34" s="515"/>
      <c r="AT34" s="20"/>
      <c r="AU34" s="693"/>
      <c r="AV34" s="8">
        <f t="shared" si="10"/>
        <v>0</v>
      </c>
      <c r="AW34" s="8">
        <f t="shared" si="11"/>
        <v>0</v>
      </c>
      <c r="AX34" s="20"/>
      <c r="AY34" s="17"/>
      <c r="AZ34" s="8">
        <f t="shared" si="12"/>
        <v>0</v>
      </c>
      <c r="BA34" s="692">
        <f t="shared" si="13"/>
        <v>0</v>
      </c>
    </row>
    <row r="35" spans="1:53" ht="28.5" x14ac:dyDescent="0.3">
      <c r="A35" s="591" t="s">
        <v>136</v>
      </c>
      <c r="B35" s="39">
        <v>-85338</v>
      </c>
      <c r="C35" s="736">
        <v>-1129634</v>
      </c>
      <c r="D35" s="12">
        <v>-6155209</v>
      </c>
      <c r="E35" s="693">
        <v>-5370742</v>
      </c>
      <c r="F35" s="12"/>
      <c r="G35" s="693">
        <v>-12973568</v>
      </c>
      <c r="H35" s="12">
        <v>86617668</v>
      </c>
      <c r="I35" s="515">
        <v>83393632</v>
      </c>
      <c r="J35" s="12">
        <v>-27075518</v>
      </c>
      <c r="K35" s="356">
        <v>-24928221</v>
      </c>
      <c r="L35" s="14">
        <v>1105083</v>
      </c>
      <c r="M35" s="693">
        <v>54208</v>
      </c>
      <c r="N35" s="12">
        <v>-2973027</v>
      </c>
      <c r="O35" s="356">
        <v>-1628700</v>
      </c>
      <c r="P35" s="20">
        <v>-13932980</v>
      </c>
      <c r="Q35" s="356">
        <v>-11081435</v>
      </c>
      <c r="R35" s="12">
        <v>-6975923</v>
      </c>
      <c r="S35" s="15">
        <v>-7258469</v>
      </c>
      <c r="T35" s="14">
        <v>18188485</v>
      </c>
      <c r="U35" s="693">
        <v>-16633363</v>
      </c>
      <c r="V35" s="12">
        <v>45692925</v>
      </c>
      <c r="W35" s="356">
        <v>32740263</v>
      </c>
      <c r="X35" s="14">
        <v>16444686</v>
      </c>
      <c r="Y35" s="729">
        <v>16933615</v>
      </c>
      <c r="Z35" s="168">
        <v>1191619</v>
      </c>
      <c r="AA35" s="727">
        <v>1126215</v>
      </c>
      <c r="AB35" s="12">
        <v>-1992844</v>
      </c>
      <c r="AC35" s="515">
        <v>-1018662</v>
      </c>
      <c r="AD35" s="12">
        <v>27912133</v>
      </c>
      <c r="AE35" s="693">
        <v>21830354</v>
      </c>
      <c r="AF35" s="12">
        <v>5182919</v>
      </c>
      <c r="AG35" s="515">
        <v>7538521</v>
      </c>
      <c r="AH35" s="12">
        <v>-7017637</v>
      </c>
      <c r="AI35" s="693">
        <v>-7945350</v>
      </c>
      <c r="AJ35" s="12">
        <v>-1973481</v>
      </c>
      <c r="AK35" s="693">
        <v>-2324090</v>
      </c>
      <c r="AL35" s="718"/>
      <c r="AM35" s="693"/>
      <c r="AN35" s="221">
        <v>78823269</v>
      </c>
      <c r="AO35" s="707">
        <v>64601438</v>
      </c>
      <c r="AP35" s="710">
        <v>4704449</v>
      </c>
      <c r="AQ35" s="280">
        <v>4463880</v>
      </c>
      <c r="AR35" s="168">
        <v>1279691</v>
      </c>
      <c r="AS35" s="515">
        <v>726224</v>
      </c>
      <c r="AT35" s="12">
        <v>1341685</v>
      </c>
      <c r="AU35" s="693">
        <v>900986</v>
      </c>
      <c r="AV35" s="8">
        <f t="shared" si="10"/>
        <v>220302655</v>
      </c>
      <c r="AW35" s="8">
        <f t="shared" si="11"/>
        <v>142017102</v>
      </c>
      <c r="AX35" s="12"/>
      <c r="AY35" s="17"/>
      <c r="AZ35" s="8">
        <f t="shared" si="12"/>
        <v>220302655</v>
      </c>
      <c r="BA35" s="692">
        <f t="shared" si="13"/>
        <v>142017102</v>
      </c>
    </row>
    <row r="36" spans="1:53" ht="28.5" x14ac:dyDescent="0.3">
      <c r="A36" s="591" t="s">
        <v>137</v>
      </c>
      <c r="B36" s="39"/>
      <c r="C36" s="736"/>
      <c r="D36" s="12"/>
      <c r="E36" s="693"/>
      <c r="F36" s="12"/>
      <c r="G36" s="693"/>
      <c r="H36" s="12"/>
      <c r="I36" s="515"/>
      <c r="J36" s="12"/>
      <c r="K36" s="356"/>
      <c r="L36" s="14"/>
      <c r="M36" s="693"/>
      <c r="N36" s="12"/>
      <c r="O36" s="356"/>
      <c r="P36" s="12"/>
      <c r="Q36" s="356"/>
      <c r="R36" s="12"/>
      <c r="S36" s="15"/>
      <c r="T36" s="14"/>
      <c r="U36" s="693"/>
      <c r="V36" s="12"/>
      <c r="W36" s="356"/>
      <c r="X36" s="14"/>
      <c r="Y36" s="729"/>
      <c r="Z36" s="168"/>
      <c r="AA36" s="727"/>
      <c r="AB36" s="12"/>
      <c r="AC36" s="515"/>
      <c r="AD36" s="12"/>
      <c r="AE36" s="693"/>
      <c r="AF36" s="12"/>
      <c r="AG36" s="515">
        <v>2647962</v>
      </c>
      <c r="AH36" s="12"/>
      <c r="AI36" s="693"/>
      <c r="AJ36" s="12"/>
      <c r="AK36" s="693"/>
      <c r="AL36" s="718"/>
      <c r="AM36" s="693"/>
      <c r="AN36" s="222"/>
      <c r="AO36" s="707"/>
      <c r="AP36" s="710"/>
      <c r="AQ36" s="280"/>
      <c r="AR36" s="168"/>
      <c r="AS36" s="515"/>
      <c r="AT36" s="12"/>
      <c r="AU36" s="693"/>
      <c r="AV36" s="8">
        <f t="shared" si="10"/>
        <v>0</v>
      </c>
      <c r="AW36" s="8">
        <f t="shared" si="11"/>
        <v>2647962</v>
      </c>
      <c r="AX36" s="12"/>
      <c r="AY36" s="17"/>
      <c r="AZ36" s="8">
        <f t="shared" si="12"/>
        <v>0</v>
      </c>
      <c r="BA36" s="692">
        <f t="shared" si="13"/>
        <v>2647962</v>
      </c>
    </row>
    <row r="37" spans="1:53" ht="28.5" x14ac:dyDescent="0.3">
      <c r="A37" s="593" t="s">
        <v>138</v>
      </c>
      <c r="B37" s="39"/>
      <c r="C37" s="166"/>
      <c r="D37" s="12"/>
      <c r="E37" s="693"/>
      <c r="F37" s="12"/>
      <c r="G37" s="693"/>
      <c r="H37" s="12"/>
      <c r="I37" s="515">
        <v>1054963</v>
      </c>
      <c r="J37" s="12"/>
      <c r="K37" s="356"/>
      <c r="L37" s="14"/>
      <c r="M37" s="693"/>
      <c r="N37" s="12"/>
      <c r="O37" s="356"/>
      <c r="P37" s="12"/>
      <c r="Q37" s="356"/>
      <c r="R37" s="12"/>
      <c r="S37" s="15"/>
      <c r="T37" s="14"/>
      <c r="U37" s="693"/>
      <c r="V37" s="12"/>
      <c r="W37" s="356"/>
      <c r="X37" s="14"/>
      <c r="Y37" s="729">
        <v>4737332</v>
      </c>
      <c r="Z37" s="168"/>
      <c r="AA37" s="727">
        <v>-800000</v>
      </c>
      <c r="AB37" s="12"/>
      <c r="AC37" s="515">
        <v>-112500</v>
      </c>
      <c r="AD37" s="12"/>
      <c r="AE37" s="693"/>
      <c r="AF37" s="12"/>
      <c r="AG37" s="515"/>
      <c r="AH37" s="12"/>
      <c r="AI37" s="693"/>
      <c r="AJ37" s="12"/>
      <c r="AK37" s="693"/>
      <c r="AL37" s="718"/>
      <c r="AM37" s="693"/>
      <c r="AN37" s="222"/>
      <c r="AO37" s="707"/>
      <c r="AP37" s="710"/>
      <c r="AQ37" s="280"/>
      <c r="AR37" s="168"/>
      <c r="AS37" s="515">
        <v>32371</v>
      </c>
      <c r="AT37" s="12"/>
      <c r="AU37" s="693"/>
      <c r="AV37" s="8">
        <f t="shared" si="10"/>
        <v>0</v>
      </c>
      <c r="AW37" s="8">
        <f t="shared" si="11"/>
        <v>4912166</v>
      </c>
      <c r="AX37" s="12"/>
      <c r="AY37" s="17"/>
      <c r="AZ37" s="8">
        <f t="shared" si="12"/>
        <v>0</v>
      </c>
      <c r="BA37" s="692">
        <f t="shared" si="13"/>
        <v>4912166</v>
      </c>
    </row>
    <row r="38" spans="1:53" ht="28.5" x14ac:dyDescent="0.3">
      <c r="A38" s="591" t="s">
        <v>139</v>
      </c>
      <c r="B38" s="39"/>
      <c r="C38" s="166"/>
      <c r="D38" s="12"/>
      <c r="E38" s="693"/>
      <c r="F38" s="12"/>
      <c r="G38" s="693"/>
      <c r="H38" s="12"/>
      <c r="I38" s="515">
        <v>216851</v>
      </c>
      <c r="J38" s="12"/>
      <c r="K38" s="356"/>
      <c r="L38" s="14"/>
      <c r="M38" s="693"/>
      <c r="N38" s="12"/>
      <c r="O38" s="356"/>
      <c r="P38" s="12"/>
      <c r="Q38" s="356"/>
      <c r="R38" s="12"/>
      <c r="S38" s="15"/>
      <c r="T38" s="14"/>
      <c r="U38" s="693"/>
      <c r="V38" s="12"/>
      <c r="W38" s="356"/>
      <c r="X38" s="14"/>
      <c r="Y38" s="729">
        <v>973773</v>
      </c>
      <c r="Z38" s="168"/>
      <c r="AA38" s="727">
        <v>-164442</v>
      </c>
      <c r="AB38" s="12"/>
      <c r="AC38" s="515">
        <v>-23124</v>
      </c>
      <c r="AD38" s="12"/>
      <c r="AE38" s="693"/>
      <c r="AF38" s="12"/>
      <c r="AG38" s="515">
        <v>544296</v>
      </c>
      <c r="AH38" s="12"/>
      <c r="AI38" s="693"/>
      <c r="AJ38" s="12"/>
      <c r="AK38" s="693"/>
      <c r="AL38" s="718"/>
      <c r="AM38" s="693"/>
      <c r="AN38" s="222"/>
      <c r="AO38" s="707"/>
      <c r="AP38" s="710"/>
      <c r="AQ38" s="280"/>
      <c r="AR38" s="168"/>
      <c r="AS38" s="515">
        <v>6654</v>
      </c>
      <c r="AT38" s="12"/>
      <c r="AU38" s="693"/>
      <c r="AV38" s="8">
        <f t="shared" si="10"/>
        <v>0</v>
      </c>
      <c r="AW38" s="8">
        <f t="shared" si="11"/>
        <v>1554008</v>
      </c>
      <c r="AX38" s="12"/>
      <c r="AY38" s="17"/>
      <c r="AZ38" s="8">
        <f t="shared" si="12"/>
        <v>0</v>
      </c>
      <c r="BA38" s="692">
        <f t="shared" si="13"/>
        <v>1554008</v>
      </c>
    </row>
    <row r="39" spans="1:53" ht="28.5" x14ac:dyDescent="0.3">
      <c r="A39" s="591" t="s">
        <v>140</v>
      </c>
      <c r="B39" s="8"/>
      <c r="C39" s="736"/>
      <c r="D39" s="20"/>
      <c r="E39" s="693"/>
      <c r="F39" s="20"/>
      <c r="G39" s="693"/>
      <c r="H39" s="20"/>
      <c r="I39" s="515"/>
      <c r="J39" s="20">
        <v>449</v>
      </c>
      <c r="K39" s="356"/>
      <c r="L39" s="22"/>
      <c r="M39" s="693"/>
      <c r="N39" s="20"/>
      <c r="O39" s="356"/>
      <c r="P39" s="20"/>
      <c r="Q39" s="356"/>
      <c r="R39" s="20"/>
      <c r="S39" s="15"/>
      <c r="T39" s="22"/>
      <c r="U39" s="693"/>
      <c r="V39" s="20"/>
      <c r="W39" s="356"/>
      <c r="X39" s="22"/>
      <c r="Y39" s="729"/>
      <c r="Z39" s="40"/>
      <c r="AA39" s="727"/>
      <c r="AB39" s="20"/>
      <c r="AC39" s="515"/>
      <c r="AD39" s="724"/>
      <c r="AE39" s="693"/>
      <c r="AF39" s="20"/>
      <c r="AG39" s="515"/>
      <c r="AH39" s="20"/>
      <c r="AI39" s="721"/>
      <c r="AJ39" s="20"/>
      <c r="AK39" s="693"/>
      <c r="AL39" s="718"/>
      <c r="AM39" s="693"/>
      <c r="AN39" s="222"/>
      <c r="AO39" s="707"/>
      <c r="AP39" s="710"/>
      <c r="AQ39" s="280"/>
      <c r="AR39" s="168"/>
      <c r="AS39" s="515"/>
      <c r="AT39" s="20"/>
      <c r="AU39" s="693"/>
      <c r="AV39" s="8">
        <f t="shared" si="10"/>
        <v>449</v>
      </c>
      <c r="AW39" s="8">
        <f t="shared" si="11"/>
        <v>0</v>
      </c>
      <c r="AX39" s="20"/>
      <c r="AY39" s="17">
        <v>70290</v>
      </c>
      <c r="AZ39" s="8">
        <f t="shared" si="12"/>
        <v>449</v>
      </c>
      <c r="BA39" s="692">
        <f t="shared" si="13"/>
        <v>70290</v>
      </c>
    </row>
    <row r="40" spans="1:53" ht="28.5" x14ac:dyDescent="0.3">
      <c r="A40" s="594" t="s">
        <v>250</v>
      </c>
      <c r="B40" s="8"/>
      <c r="C40" s="736"/>
      <c r="D40" s="487"/>
      <c r="E40" s="693"/>
      <c r="F40" s="487"/>
      <c r="G40" s="693"/>
      <c r="H40" s="487"/>
      <c r="I40" s="515"/>
      <c r="J40" s="487"/>
      <c r="K40" s="356"/>
      <c r="L40" s="483"/>
      <c r="M40" s="693"/>
      <c r="N40" s="487"/>
      <c r="O40" s="356"/>
      <c r="P40" s="487"/>
      <c r="Q40" s="356"/>
      <c r="R40" s="487"/>
      <c r="S40" s="15"/>
      <c r="T40" s="483"/>
      <c r="U40" s="693"/>
      <c r="V40" s="487"/>
      <c r="W40" s="356"/>
      <c r="X40" s="483"/>
      <c r="Y40" s="729"/>
      <c r="Z40" s="732"/>
      <c r="AA40" s="727"/>
      <c r="AB40" s="487"/>
      <c r="AC40" s="515"/>
      <c r="AD40" s="725"/>
      <c r="AE40" s="693"/>
      <c r="AF40" s="487"/>
      <c r="AG40" s="515"/>
      <c r="AH40" s="487"/>
      <c r="AI40" s="722"/>
      <c r="AJ40" s="487"/>
      <c r="AK40" s="693"/>
      <c r="AL40" s="719"/>
      <c r="AM40" s="693"/>
      <c r="AN40" s="485"/>
      <c r="AO40" s="707"/>
      <c r="AP40" s="255"/>
      <c r="AQ40" s="280"/>
      <c r="AR40" s="468"/>
      <c r="AS40" s="515"/>
      <c r="AT40" s="487"/>
      <c r="AU40" s="693"/>
      <c r="AV40" s="481"/>
      <c r="AW40" s="481"/>
      <c r="AX40" s="487"/>
      <c r="AY40" s="17"/>
      <c r="AZ40" s="481"/>
      <c r="BA40" s="482"/>
    </row>
    <row r="41" spans="1:53" s="638" customFormat="1" ht="27.75" thickBot="1" x14ac:dyDescent="0.35">
      <c r="A41" s="632" t="s">
        <v>141</v>
      </c>
      <c r="B41" s="633">
        <f t="shared" ref="B41:G41" si="14">B33+B35</f>
        <v>330916</v>
      </c>
      <c r="C41" s="737">
        <f t="shared" si="14"/>
        <v>-584206</v>
      </c>
      <c r="D41" s="636">
        <f t="shared" si="14"/>
        <v>-6651963</v>
      </c>
      <c r="E41" s="694">
        <f>D41</f>
        <v>-6651963</v>
      </c>
      <c r="F41" s="636">
        <f t="shared" si="14"/>
        <v>0</v>
      </c>
      <c r="G41" s="636">
        <f t="shared" si="14"/>
        <v>-12899895</v>
      </c>
      <c r="H41" s="705">
        <v>88895141</v>
      </c>
      <c r="I41" s="783">
        <v>84811960</v>
      </c>
      <c r="J41" s="636">
        <v>-27802178</v>
      </c>
      <c r="K41" s="705">
        <f>K33+K35</f>
        <v>-25587760</v>
      </c>
      <c r="L41" s="778">
        <f>L33+L35</f>
        <v>279197</v>
      </c>
      <c r="M41" s="783">
        <f>M33+M35</f>
        <v>64825</v>
      </c>
      <c r="N41" s="636">
        <f>N33+N35</f>
        <v>-2112275</v>
      </c>
      <c r="O41" s="784">
        <v>-3040596</v>
      </c>
      <c r="P41" s="636">
        <f t="shared" ref="P41:W41" si="15">P33+P35</f>
        <v>-15236118</v>
      </c>
      <c r="Q41" s="705">
        <f t="shared" si="15"/>
        <v>-12439536</v>
      </c>
      <c r="R41" s="636">
        <f t="shared" si="15"/>
        <v>-7244037</v>
      </c>
      <c r="S41" s="705">
        <f t="shared" si="15"/>
        <v>-7886965</v>
      </c>
      <c r="T41" s="778">
        <v>18426752</v>
      </c>
      <c r="U41" s="783">
        <f t="shared" si="15"/>
        <v>-17082096</v>
      </c>
      <c r="V41" s="705">
        <f t="shared" si="15"/>
        <v>53464723</v>
      </c>
      <c r="W41" s="705">
        <f t="shared" si="15"/>
        <v>40073306</v>
      </c>
      <c r="X41" s="939">
        <v>32337888</v>
      </c>
      <c r="Y41" s="705">
        <v>17037328</v>
      </c>
      <c r="Z41" s="705">
        <f>Z33+Z35</f>
        <v>1337754</v>
      </c>
      <c r="AA41" s="705">
        <f>SUM(AA33:AA40)</f>
        <v>342733</v>
      </c>
      <c r="AB41" s="705">
        <v>-2468097</v>
      </c>
      <c r="AC41" s="705">
        <f>SUM(AC33:AC40)</f>
        <v>-2538591</v>
      </c>
      <c r="AD41" s="705">
        <f t="shared" ref="AD41:AK41" si="16">AD33+AD35</f>
        <v>28870002</v>
      </c>
      <c r="AE41" s="705">
        <f t="shared" si="16"/>
        <v>22595539</v>
      </c>
      <c r="AF41" s="705">
        <f t="shared" si="16"/>
        <v>7154933</v>
      </c>
      <c r="AG41" s="705">
        <v>5884730</v>
      </c>
      <c r="AH41" s="705">
        <v>-6734717</v>
      </c>
      <c r="AI41" s="705">
        <v>-7778657</v>
      </c>
      <c r="AJ41" s="705">
        <f t="shared" si="16"/>
        <v>-2041163</v>
      </c>
      <c r="AK41" s="705">
        <f t="shared" si="16"/>
        <v>-2167232</v>
      </c>
      <c r="AL41" s="636">
        <f>AL33+AL35</f>
        <v>0</v>
      </c>
      <c r="AM41" s="716">
        <f>AM33+AM35</f>
        <v>0</v>
      </c>
      <c r="AN41" s="705">
        <f>AN33+AN35</f>
        <v>85729458</v>
      </c>
      <c r="AO41" s="705">
        <f>AO33+AO35</f>
        <v>69618897</v>
      </c>
      <c r="AP41" s="711">
        <v>4837323</v>
      </c>
      <c r="AQ41" s="702">
        <v>4462147</v>
      </c>
      <c r="AR41" s="705">
        <v>1146976</v>
      </c>
      <c r="AS41" s="697">
        <v>790121</v>
      </c>
      <c r="AT41" s="636">
        <v>562123</v>
      </c>
      <c r="AU41" s="694">
        <v>230111</v>
      </c>
      <c r="AV41" s="635">
        <f>SUM(B41+D41+F41+H41+J41+L41+N41+P41+R41+T41+V41+X41+Z41+AB41+AD41+AF41+AH41+AJ41+AL41+AN41+AP41+AR41+AT41)</f>
        <v>253082638</v>
      </c>
      <c r="AW41" s="635">
        <f>SUM(C41+E41+G41+I41+K41+M41+O41+Q41+S41+U41+W41+Y41+AA41+AC41+AE41+AG41+AI41+AK41+AM41+AO41+AQ41+AS41+AU41)</f>
        <v>147254200</v>
      </c>
      <c r="AX41" s="636"/>
      <c r="AY41" s="637">
        <f>AX41</f>
        <v>0</v>
      </c>
      <c r="AZ41" s="636">
        <f>AZ33+AZ35</f>
        <v>242605656</v>
      </c>
      <c r="BA41" s="634">
        <f>BA33+BA35</f>
        <v>159385670</v>
      </c>
    </row>
    <row r="42" spans="1:53" s="38" customFormat="1" ht="28.5" x14ac:dyDescent="0.3">
      <c r="A42" s="242" t="s">
        <v>142</v>
      </c>
      <c r="B42" s="596">
        <v>0.22</v>
      </c>
      <c r="C42" s="596">
        <v>0.28999999999999998</v>
      </c>
      <c r="D42" s="245"/>
      <c r="E42" s="695"/>
      <c r="F42" s="245"/>
      <c r="G42" s="731">
        <v>0.04</v>
      </c>
      <c r="H42" s="245"/>
      <c r="I42" s="695"/>
      <c r="J42" s="245">
        <v>-0.25</v>
      </c>
      <c r="K42" s="227">
        <v>-0.26</v>
      </c>
      <c r="L42" s="243"/>
      <c r="M42" s="695"/>
      <c r="N42" s="245"/>
      <c r="O42" s="227"/>
      <c r="P42" s="735"/>
      <c r="Q42" s="781"/>
      <c r="R42" s="245"/>
      <c r="S42" s="227"/>
      <c r="T42" s="243"/>
      <c r="U42" s="695"/>
      <c r="V42" s="245"/>
      <c r="W42" s="227"/>
      <c r="X42" s="243"/>
      <c r="Y42" s="731"/>
      <c r="Z42" s="733"/>
      <c r="AA42" s="728"/>
      <c r="AB42" s="245"/>
      <c r="AC42" s="695">
        <v>2.21</v>
      </c>
      <c r="AD42" s="245"/>
      <c r="AE42" s="695"/>
      <c r="AF42" s="245"/>
      <c r="AG42" s="695"/>
      <c r="AH42" s="245"/>
      <c r="AI42" s="695"/>
      <c r="AJ42" s="245"/>
      <c r="AK42" s="695"/>
      <c r="AL42" s="252"/>
      <c r="AM42" s="695"/>
      <c r="AN42" s="244"/>
      <c r="AO42" s="708"/>
      <c r="AP42" s="712"/>
      <c r="AQ42" s="703"/>
      <c r="AR42" s="706"/>
      <c r="AS42" s="698">
        <v>0.4</v>
      </c>
      <c r="AT42" s="245"/>
      <c r="AU42" s="695"/>
      <c r="AV42" s="224"/>
      <c r="AW42" s="225"/>
      <c r="AX42" s="245"/>
      <c r="AY42" s="226"/>
      <c r="AZ42" s="224"/>
      <c r="BA42" s="227"/>
    </row>
    <row r="43" spans="1:53" ht="28.5" x14ac:dyDescent="0.3">
      <c r="A43" s="217" t="s">
        <v>143</v>
      </c>
      <c r="B43" s="39"/>
      <c r="C43" s="167"/>
      <c r="D43" s="12"/>
      <c r="E43" s="693"/>
      <c r="F43" s="12"/>
      <c r="G43" s="693"/>
      <c r="H43" s="12"/>
      <c r="I43" s="693"/>
      <c r="J43" s="12"/>
      <c r="K43" s="15"/>
      <c r="L43" s="14"/>
      <c r="M43" s="693"/>
      <c r="N43" s="12"/>
      <c r="O43" s="15"/>
      <c r="P43" s="12"/>
      <c r="Q43" s="15"/>
      <c r="R43" s="12"/>
      <c r="S43" s="15"/>
      <c r="T43" s="14"/>
      <c r="U43" s="693"/>
      <c r="V43" s="12"/>
      <c r="W43" s="15"/>
      <c r="X43" s="14"/>
      <c r="Y43" s="693"/>
      <c r="Z43" s="40"/>
      <c r="AA43" s="727"/>
      <c r="AB43" s="12"/>
      <c r="AC43" s="693"/>
      <c r="AD43" s="12"/>
      <c r="AE43" s="693"/>
      <c r="AF43" s="12"/>
      <c r="AG43" s="693"/>
      <c r="AH43" s="12"/>
      <c r="AI43" s="693"/>
      <c r="AJ43" s="12"/>
      <c r="AK43" s="693"/>
      <c r="AL43" s="718"/>
      <c r="AM43" s="693"/>
      <c r="AN43" s="220"/>
      <c r="AO43" s="709"/>
      <c r="AP43" s="710"/>
      <c r="AQ43" s="280"/>
      <c r="AR43" s="238"/>
      <c r="AS43" s="223"/>
      <c r="AT43" s="12"/>
      <c r="AU43" s="693"/>
      <c r="AV43" s="20"/>
      <c r="AW43" s="19"/>
      <c r="AX43" s="12"/>
      <c r="AY43" s="11"/>
      <c r="AZ43" s="20"/>
      <c r="BA43" s="15"/>
    </row>
    <row r="44" spans="1:53" x14ac:dyDescent="0.3">
      <c r="A44" s="218" t="s">
        <v>144</v>
      </c>
      <c r="B44" s="239"/>
      <c r="C44" s="171"/>
      <c r="D44" s="12"/>
      <c r="E44" s="693"/>
      <c r="F44" s="12"/>
      <c r="G44" s="169"/>
      <c r="H44" s="12"/>
      <c r="I44" s="693"/>
      <c r="J44" s="1"/>
      <c r="K44" s="3"/>
      <c r="L44" s="14"/>
      <c r="M44" s="693"/>
      <c r="N44" s="1">
        <v>2.2999999999999998</v>
      </c>
      <c r="O44" s="3">
        <v>-3.77</v>
      </c>
      <c r="P44" s="1">
        <v>-4.17</v>
      </c>
      <c r="Q44" s="3">
        <v>-4.34</v>
      </c>
      <c r="R44" s="12"/>
      <c r="S44" s="15"/>
      <c r="T44" s="14"/>
      <c r="U44" s="693"/>
      <c r="V44" s="1">
        <v>3.85</v>
      </c>
      <c r="W44" s="3">
        <v>3.63</v>
      </c>
      <c r="X44" s="13">
        <v>4.0999999999999996</v>
      </c>
      <c r="Y44" s="693">
        <v>4.05</v>
      </c>
      <c r="Z44" s="170">
        <v>0.18</v>
      </c>
      <c r="AA44" s="1169">
        <v>0.23</v>
      </c>
      <c r="AB44" s="1">
        <v>0.72</v>
      </c>
      <c r="AC44" s="169">
        <v>2.21</v>
      </c>
      <c r="AD44" s="1">
        <v>1.88</v>
      </c>
      <c r="AE44" s="169">
        <v>1.5</v>
      </c>
      <c r="AF44" s="12"/>
      <c r="AG44" s="693"/>
      <c r="AH44" s="12"/>
      <c r="AI44" s="693"/>
      <c r="AJ44" s="12"/>
      <c r="AK44" s="693"/>
      <c r="AL44" s="718"/>
      <c r="AM44" s="693"/>
      <c r="AN44" s="1173">
        <v>6.91</v>
      </c>
      <c r="AO44" s="1174">
        <v>5.0199999999999996</v>
      </c>
      <c r="AP44" s="710"/>
      <c r="AQ44" s="280"/>
      <c r="AR44" s="228">
        <v>0.51</v>
      </c>
      <c r="AS44" s="699">
        <v>0.4</v>
      </c>
      <c r="AT44" s="12"/>
      <c r="AU44" s="693"/>
      <c r="AV44" s="20"/>
      <c r="AW44" s="19"/>
      <c r="AX44" s="12"/>
      <c r="AY44" s="11"/>
      <c r="AZ44" s="20"/>
      <c r="BA44" s="15"/>
    </row>
    <row r="45" spans="1:53" ht="15" thickBot="1" x14ac:dyDescent="0.35">
      <c r="A45" s="219" t="s">
        <v>145</v>
      </c>
      <c r="B45" s="240"/>
      <c r="C45" s="241"/>
      <c r="D45" s="42"/>
      <c r="E45" s="696"/>
      <c r="F45" s="42"/>
      <c r="G45" s="696"/>
      <c r="H45" s="42"/>
      <c r="I45" s="696"/>
      <c r="J45" s="42"/>
      <c r="K45" s="782"/>
      <c r="L45" s="779"/>
      <c r="M45" s="696"/>
      <c r="N45" s="1">
        <v>2.2999999999999998</v>
      </c>
      <c r="O45" s="3">
        <v>-3.77</v>
      </c>
      <c r="P45" s="42"/>
      <c r="Q45" s="782"/>
      <c r="R45" s="42"/>
      <c r="S45" s="782"/>
      <c r="T45" s="779"/>
      <c r="U45" s="696"/>
      <c r="V45" s="734">
        <v>3.85</v>
      </c>
      <c r="W45" s="762"/>
      <c r="X45" s="940">
        <v>4.0999999999999996</v>
      </c>
      <c r="Y45" s="696">
        <v>4.05</v>
      </c>
      <c r="Z45" s="1170">
        <v>0.18</v>
      </c>
      <c r="AA45" s="1171">
        <v>0.23</v>
      </c>
      <c r="AB45" s="734">
        <v>0.72</v>
      </c>
      <c r="AC45" s="1172">
        <v>2.21</v>
      </c>
      <c r="AD45" s="726"/>
      <c r="AE45" s="723"/>
      <c r="AF45" s="42"/>
      <c r="AG45" s="696"/>
      <c r="AH45" s="42"/>
      <c r="AI45" s="696"/>
      <c r="AJ45" s="42"/>
      <c r="AK45" s="696"/>
      <c r="AL45" s="720"/>
      <c r="AM45" s="717"/>
      <c r="AN45" s="1175">
        <v>6.9</v>
      </c>
      <c r="AO45" s="1176">
        <v>5.0199999999999996</v>
      </c>
      <c r="AP45" s="713"/>
      <c r="AQ45" s="704"/>
      <c r="AR45" s="229">
        <v>0.51</v>
      </c>
      <c r="AS45" s="700">
        <v>0.4</v>
      </c>
      <c r="AT45" s="42"/>
      <c r="AU45" s="696"/>
      <c r="AV45" s="42"/>
      <c r="AW45" s="41"/>
      <c r="AX45" s="42"/>
      <c r="AY45" s="41"/>
      <c r="AZ45" s="42"/>
      <c r="BA45" s="174"/>
    </row>
  </sheetData>
  <mergeCells count="29">
    <mergeCell ref="N3:O3"/>
    <mergeCell ref="AZ3:BA3"/>
    <mergeCell ref="H3:I3"/>
    <mergeCell ref="AN3:AO3"/>
    <mergeCell ref="AP3:AQ3"/>
    <mergeCell ref="AR3:AS3"/>
    <mergeCell ref="AT3:AU3"/>
    <mergeCell ref="AV3:AW3"/>
    <mergeCell ref="V3:W3"/>
    <mergeCell ref="Z3:AA3"/>
    <mergeCell ref="A1:AZ1"/>
    <mergeCell ref="A2:AZ2"/>
    <mergeCell ref="A3:A4"/>
    <mergeCell ref="B3:C3"/>
    <mergeCell ref="D3:E3"/>
    <mergeCell ref="F3:G3"/>
    <mergeCell ref="J3:K3"/>
    <mergeCell ref="AX3:AY3"/>
    <mergeCell ref="L3:M3"/>
    <mergeCell ref="AL3:AM3"/>
    <mergeCell ref="AJ3:AK3"/>
    <mergeCell ref="T3:U3"/>
    <mergeCell ref="X3:Y3"/>
    <mergeCell ref="P3:Q3"/>
    <mergeCell ref="R3:S3"/>
    <mergeCell ref="AB3:AC3"/>
    <mergeCell ref="AD3:AE3"/>
    <mergeCell ref="AF3:AG3"/>
    <mergeCell ref="AH3:A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7"/>
  <sheetViews>
    <sheetView workbookViewId="0">
      <pane xSplit="1" topLeftCell="F1" activePane="topRight" state="frozen"/>
      <selection pane="topRight" activeCell="F63" sqref="F63"/>
    </sheetView>
  </sheetViews>
  <sheetFormatPr defaultRowHeight="16.5" x14ac:dyDescent="0.3"/>
  <cols>
    <col min="1" max="1" width="59.28515625" style="67" bestFit="1" customWidth="1"/>
    <col min="2" max="21" width="13.7109375" style="67" bestFit="1" customWidth="1"/>
    <col min="22" max="25" width="14.28515625" style="67" bestFit="1" customWidth="1"/>
    <col min="26" max="39" width="13.7109375" style="67" bestFit="1" customWidth="1"/>
    <col min="40" max="41" width="14.28515625" style="67" bestFit="1" customWidth="1"/>
    <col min="42" max="47" width="13.7109375" style="67" bestFit="1" customWidth="1"/>
    <col min="48" max="48" width="15.5703125" style="67" bestFit="1" customWidth="1"/>
    <col min="49" max="49" width="14.28515625" style="67" bestFit="1" customWidth="1"/>
    <col min="50" max="51" width="13.7109375" style="67" bestFit="1" customWidth="1"/>
    <col min="52" max="52" width="15.5703125" style="67" bestFit="1" customWidth="1"/>
    <col min="53" max="53" width="14.28515625" style="67" bestFit="1" customWidth="1"/>
    <col min="54" max="16384" width="9.140625" style="67"/>
  </cols>
  <sheetData>
    <row r="1" spans="1:53" ht="44.25" customHeight="1" thickBot="1" x14ac:dyDescent="0.5">
      <c r="A1" s="1082" t="s">
        <v>297</v>
      </c>
      <c r="B1" s="1216" t="s">
        <v>153</v>
      </c>
      <c r="C1" s="1217"/>
      <c r="D1" s="1211" t="s">
        <v>298</v>
      </c>
      <c r="E1" s="1212"/>
      <c r="F1" s="1213" t="s">
        <v>155</v>
      </c>
      <c r="G1" s="1212"/>
      <c r="H1" s="1213" t="s">
        <v>156</v>
      </c>
      <c r="I1" s="1212"/>
      <c r="J1" s="1213" t="s">
        <v>299</v>
      </c>
      <c r="K1" s="1212"/>
      <c r="L1" s="1211" t="s">
        <v>158</v>
      </c>
      <c r="M1" s="1212"/>
      <c r="N1" s="1211" t="s">
        <v>291</v>
      </c>
      <c r="O1" s="1212"/>
      <c r="P1" s="1213" t="s">
        <v>180</v>
      </c>
      <c r="Q1" s="1213"/>
      <c r="R1" s="1211" t="s">
        <v>300</v>
      </c>
      <c r="S1" s="1212"/>
      <c r="T1" s="1211" t="s">
        <v>301</v>
      </c>
      <c r="U1" s="1212"/>
      <c r="V1" s="1213" t="s">
        <v>302</v>
      </c>
      <c r="W1" s="1212"/>
      <c r="X1" s="1213" t="s">
        <v>303</v>
      </c>
      <c r="Y1" s="1212"/>
      <c r="Z1" s="1213" t="s">
        <v>304</v>
      </c>
      <c r="AA1" s="1213"/>
      <c r="AB1" s="1211" t="s">
        <v>165</v>
      </c>
      <c r="AC1" s="1212"/>
      <c r="AD1" s="1206" t="s">
        <v>166</v>
      </c>
      <c r="AE1" s="1207"/>
      <c r="AF1" s="1211" t="s">
        <v>167</v>
      </c>
      <c r="AG1" s="1212"/>
      <c r="AH1" s="1211" t="s">
        <v>271</v>
      </c>
      <c r="AI1" s="1212"/>
      <c r="AJ1" s="1211" t="s">
        <v>169</v>
      </c>
      <c r="AK1" s="1212"/>
      <c r="AL1" s="1210" t="s">
        <v>170</v>
      </c>
      <c r="AM1" s="1210"/>
      <c r="AN1" s="1211" t="s">
        <v>171</v>
      </c>
      <c r="AO1" s="1212"/>
      <c r="AP1" s="1211" t="s">
        <v>172</v>
      </c>
      <c r="AQ1" s="1212"/>
      <c r="AR1" s="1213" t="s">
        <v>305</v>
      </c>
      <c r="AS1" s="1213"/>
      <c r="AT1" s="1211" t="s">
        <v>174</v>
      </c>
      <c r="AU1" s="1212"/>
      <c r="AV1" s="1214" t="s">
        <v>1</v>
      </c>
      <c r="AW1" s="1215"/>
      <c r="AX1" s="1206" t="s">
        <v>175</v>
      </c>
      <c r="AY1" s="1207"/>
      <c r="AZ1" s="1208" t="s">
        <v>2</v>
      </c>
      <c r="BA1" s="1209"/>
    </row>
    <row r="2" spans="1:53" s="1110" customFormat="1" ht="54.75" customHeight="1" thickBot="1" x14ac:dyDescent="0.35">
      <c r="A2" s="1107" t="s">
        <v>0</v>
      </c>
      <c r="B2" s="1108" t="s">
        <v>362</v>
      </c>
      <c r="C2" s="1109" t="s">
        <v>363</v>
      </c>
      <c r="D2" s="1108" t="s">
        <v>362</v>
      </c>
      <c r="E2" s="1109" t="s">
        <v>363</v>
      </c>
      <c r="F2" s="1108" t="s">
        <v>362</v>
      </c>
      <c r="G2" s="1109" t="s">
        <v>363</v>
      </c>
      <c r="H2" s="1108" t="s">
        <v>362</v>
      </c>
      <c r="I2" s="1109" t="s">
        <v>363</v>
      </c>
      <c r="J2" s="1108" t="s">
        <v>362</v>
      </c>
      <c r="K2" s="1109" t="s">
        <v>363</v>
      </c>
      <c r="L2" s="1108" t="s">
        <v>362</v>
      </c>
      <c r="M2" s="1109" t="s">
        <v>363</v>
      </c>
      <c r="N2" s="1108" t="s">
        <v>362</v>
      </c>
      <c r="O2" s="1109" t="s">
        <v>363</v>
      </c>
      <c r="P2" s="1108" t="s">
        <v>362</v>
      </c>
      <c r="Q2" s="1109" t="s">
        <v>363</v>
      </c>
      <c r="R2" s="1108" t="s">
        <v>362</v>
      </c>
      <c r="S2" s="1109" t="s">
        <v>363</v>
      </c>
      <c r="T2" s="1108" t="s">
        <v>362</v>
      </c>
      <c r="U2" s="1109" t="s">
        <v>363</v>
      </c>
      <c r="V2" s="1108" t="s">
        <v>362</v>
      </c>
      <c r="W2" s="1109" t="s">
        <v>363</v>
      </c>
      <c r="X2" s="1108" t="s">
        <v>362</v>
      </c>
      <c r="Y2" s="1109" t="s">
        <v>363</v>
      </c>
      <c r="Z2" s="1108" t="s">
        <v>362</v>
      </c>
      <c r="AA2" s="1109" t="s">
        <v>363</v>
      </c>
      <c r="AB2" s="1108" t="s">
        <v>362</v>
      </c>
      <c r="AC2" s="1109" t="s">
        <v>363</v>
      </c>
      <c r="AD2" s="1108" t="s">
        <v>362</v>
      </c>
      <c r="AE2" s="1109" t="s">
        <v>363</v>
      </c>
      <c r="AF2" s="1108" t="s">
        <v>362</v>
      </c>
      <c r="AG2" s="1109" t="s">
        <v>363</v>
      </c>
      <c r="AH2" s="1108" t="s">
        <v>362</v>
      </c>
      <c r="AI2" s="1109" t="s">
        <v>363</v>
      </c>
      <c r="AJ2" s="1108" t="s">
        <v>362</v>
      </c>
      <c r="AK2" s="1109" t="s">
        <v>363</v>
      </c>
      <c r="AL2" s="1108" t="s">
        <v>362</v>
      </c>
      <c r="AM2" s="1109" t="s">
        <v>363</v>
      </c>
      <c r="AN2" s="1108" t="s">
        <v>362</v>
      </c>
      <c r="AO2" s="1109" t="s">
        <v>363</v>
      </c>
      <c r="AP2" s="1108" t="s">
        <v>362</v>
      </c>
      <c r="AQ2" s="1109" t="s">
        <v>363</v>
      </c>
      <c r="AR2" s="1108" t="s">
        <v>362</v>
      </c>
      <c r="AS2" s="1109" t="s">
        <v>363</v>
      </c>
      <c r="AT2" s="1108" t="s">
        <v>362</v>
      </c>
      <c r="AU2" s="1109" t="s">
        <v>363</v>
      </c>
      <c r="AV2" s="1108" t="s">
        <v>362</v>
      </c>
      <c r="AW2" s="1109" t="s">
        <v>363</v>
      </c>
      <c r="AX2" s="1108" t="s">
        <v>362</v>
      </c>
      <c r="AY2" s="1109" t="s">
        <v>363</v>
      </c>
      <c r="AZ2" s="1108" t="s">
        <v>362</v>
      </c>
      <c r="BA2" s="1109" t="s">
        <v>363</v>
      </c>
    </row>
    <row r="3" spans="1:53" x14ac:dyDescent="0.3">
      <c r="A3" s="1083" t="s">
        <v>306</v>
      </c>
      <c r="B3" s="1084"/>
      <c r="C3" s="1085"/>
      <c r="D3" s="1086"/>
      <c r="E3" s="1085"/>
      <c r="F3" s="1086"/>
      <c r="G3" s="1085"/>
      <c r="H3" s="1086"/>
      <c r="I3" s="1085"/>
      <c r="J3" s="1086"/>
      <c r="K3" s="1085"/>
      <c r="L3" s="1086"/>
      <c r="M3" s="1087"/>
      <c r="N3" s="1084"/>
      <c r="O3" s="1087"/>
      <c r="P3" s="1084"/>
      <c r="Q3" s="1087"/>
      <c r="R3" s="1084"/>
      <c r="S3" s="1087"/>
      <c r="T3" s="1084"/>
      <c r="U3" s="1087"/>
      <c r="V3" s="1084"/>
      <c r="W3" s="1087"/>
      <c r="X3" s="1084"/>
      <c r="Y3" s="1085"/>
      <c r="Z3" s="1086"/>
      <c r="AA3" s="1085"/>
      <c r="AB3" s="1086"/>
      <c r="AC3" s="1087"/>
      <c r="AD3" s="1084"/>
      <c r="AE3" s="1085"/>
      <c r="AF3" s="1086"/>
      <c r="AG3" s="1085"/>
      <c r="AH3" s="1086"/>
      <c r="AI3" s="1087"/>
      <c r="AJ3" s="1084"/>
      <c r="AK3" s="1085"/>
      <c r="AL3" s="1086"/>
      <c r="AM3" s="1085"/>
      <c r="AN3" s="1086"/>
      <c r="AO3" s="1085"/>
      <c r="AP3" s="1086"/>
      <c r="AQ3" s="1085"/>
      <c r="AR3" s="1086"/>
      <c r="AS3" s="1085"/>
      <c r="AT3" s="1086"/>
      <c r="AU3" s="1085"/>
      <c r="AV3" s="1086"/>
      <c r="AW3" s="1085"/>
      <c r="AX3" s="1086"/>
      <c r="AY3" s="1085"/>
      <c r="AZ3" s="1086"/>
      <c r="BA3" s="1087"/>
    </row>
    <row r="4" spans="1:53" x14ac:dyDescent="0.3">
      <c r="A4" s="68" t="s">
        <v>307</v>
      </c>
      <c r="B4" s="321"/>
      <c r="C4" s="1088"/>
      <c r="D4" s="1089"/>
      <c r="E4" s="1088"/>
      <c r="F4" s="1089"/>
      <c r="G4" s="1088"/>
      <c r="H4" s="1089"/>
      <c r="I4" s="1088"/>
      <c r="J4" s="1089"/>
      <c r="K4" s="1088"/>
      <c r="L4" s="1089"/>
      <c r="M4" s="314"/>
      <c r="N4" s="321"/>
      <c r="O4" s="314"/>
      <c r="P4" s="321"/>
      <c r="Q4" s="314"/>
      <c r="R4" s="321"/>
      <c r="S4" s="314"/>
      <c r="T4" s="321"/>
      <c r="U4" s="314"/>
      <c r="V4" s="321"/>
      <c r="W4" s="314"/>
      <c r="X4" s="321"/>
      <c r="Y4" s="1088"/>
      <c r="Z4" s="1089"/>
      <c r="AA4" s="1088"/>
      <c r="AB4" s="1089"/>
      <c r="AC4" s="314"/>
      <c r="AD4" s="321"/>
      <c r="AE4" s="1088"/>
      <c r="AF4" s="1089"/>
      <c r="AG4" s="1088"/>
      <c r="AH4" s="1089"/>
      <c r="AI4" s="314"/>
      <c r="AJ4" s="321"/>
      <c r="AK4" s="1088"/>
      <c r="AL4" s="1089"/>
      <c r="AM4" s="1088"/>
      <c r="AN4" s="1089"/>
      <c r="AO4" s="1088"/>
      <c r="AP4" s="1089"/>
      <c r="AQ4" s="1088"/>
      <c r="AR4" s="1089"/>
      <c r="AS4" s="1088"/>
      <c r="AT4" s="1089"/>
      <c r="AU4" s="1088"/>
      <c r="AV4" s="1089"/>
      <c r="AW4" s="1088"/>
      <c r="AX4" s="1089"/>
      <c r="AY4" s="1088"/>
      <c r="AZ4" s="1089"/>
      <c r="BA4" s="314"/>
    </row>
    <row r="5" spans="1:53" x14ac:dyDescent="0.3">
      <c r="A5" s="68" t="s">
        <v>308</v>
      </c>
      <c r="B5" s="1090">
        <v>19012080</v>
      </c>
      <c r="C5" s="1091">
        <v>19012080</v>
      </c>
      <c r="D5" s="1089">
        <v>14643541</v>
      </c>
      <c r="E5" s="1088">
        <v>14678439</v>
      </c>
      <c r="F5" s="1089">
        <v>20049000</v>
      </c>
      <c r="G5" s="1088"/>
      <c r="H5" s="1089">
        <v>1507090</v>
      </c>
      <c r="I5" s="1088">
        <v>1507090</v>
      </c>
      <c r="J5" s="1089">
        <v>26512010</v>
      </c>
      <c r="K5" s="1088">
        <v>29412010</v>
      </c>
      <c r="L5" s="1089">
        <v>9500000</v>
      </c>
      <c r="M5" s="314">
        <f>L5</f>
        <v>9500000</v>
      </c>
      <c r="N5" s="321">
        <v>3740619</v>
      </c>
      <c r="O5" s="314">
        <f>N5</f>
        <v>3740619</v>
      </c>
      <c r="P5" s="321">
        <v>3126209</v>
      </c>
      <c r="Q5" s="314">
        <v>3126209</v>
      </c>
      <c r="R5" s="321">
        <v>18500000</v>
      </c>
      <c r="S5" s="314">
        <v>18500000</v>
      </c>
      <c r="T5" s="321">
        <v>18878206</v>
      </c>
      <c r="U5" s="314">
        <v>19358206</v>
      </c>
      <c r="V5" s="321">
        <v>20176720</v>
      </c>
      <c r="W5" s="314">
        <v>20194607</v>
      </c>
      <c r="X5" s="321">
        <v>14368395</v>
      </c>
      <c r="Y5" s="1088">
        <v>14359027</v>
      </c>
      <c r="Z5" s="1089">
        <f>AA5</f>
        <v>8000000</v>
      </c>
      <c r="AA5" s="1088">
        <v>8000000</v>
      </c>
      <c r="AB5" s="1089">
        <v>6350000</v>
      </c>
      <c r="AC5" s="314">
        <v>6634615</v>
      </c>
      <c r="AD5" s="321">
        <v>5102902</v>
      </c>
      <c r="AE5" s="1088">
        <f>AD5</f>
        <v>5102902</v>
      </c>
      <c r="AF5" s="1089"/>
      <c r="AG5" s="1088">
        <v>19188129</v>
      </c>
      <c r="AH5" s="1089">
        <v>20128843</v>
      </c>
      <c r="AI5" s="314">
        <f>AH5</f>
        <v>20128843</v>
      </c>
      <c r="AJ5" s="321">
        <v>11963235</v>
      </c>
      <c r="AK5" s="1088">
        <v>11963235</v>
      </c>
      <c r="AL5" s="1089"/>
      <c r="AM5" s="1088"/>
      <c r="AN5" s="1089">
        <v>10000000</v>
      </c>
      <c r="AO5" s="1089">
        <v>10000491</v>
      </c>
      <c r="AP5" s="1089">
        <v>1756825</v>
      </c>
      <c r="AQ5" s="1088">
        <v>1758553</v>
      </c>
      <c r="AR5" s="1089">
        <v>2589641</v>
      </c>
      <c r="AS5" s="1088">
        <v>2589641</v>
      </c>
      <c r="AT5" s="1089">
        <f>AU5</f>
        <v>19535000</v>
      </c>
      <c r="AU5" s="1088">
        <v>19535000</v>
      </c>
      <c r="AV5" s="1089">
        <f t="shared" ref="AV5:AW67" si="0">B5+D5+F5+H5+J5+L5+N5+P5+R5+T5+V5+X5+Z5+AB5+AD5+AF5+AH5+AJ5+AL5+AN5+AP5+AR5+AT5</f>
        <v>255440316</v>
      </c>
      <c r="AW5" s="1088">
        <f t="shared" si="0"/>
        <v>258289696</v>
      </c>
      <c r="AX5" s="1089"/>
      <c r="AY5" s="1088"/>
      <c r="AZ5" s="1089">
        <f>AV5+AX5</f>
        <v>255440316</v>
      </c>
      <c r="BA5" s="314">
        <f>AW5+AY5</f>
        <v>258289696</v>
      </c>
    </row>
    <row r="6" spans="1:53" x14ac:dyDescent="0.3">
      <c r="A6" s="68" t="s">
        <v>309</v>
      </c>
      <c r="B6" s="1090"/>
      <c r="C6" s="1091"/>
      <c r="D6" s="1089"/>
      <c r="E6" s="1088"/>
      <c r="F6" s="1089"/>
      <c r="G6" s="1088"/>
      <c r="H6" s="1089"/>
      <c r="I6" s="1088"/>
      <c r="J6" s="1089"/>
      <c r="K6" s="1088"/>
      <c r="L6" s="1089"/>
      <c r="M6" s="314"/>
      <c r="N6" s="321"/>
      <c r="O6" s="314"/>
      <c r="P6" s="321"/>
      <c r="Q6" s="314"/>
      <c r="R6" s="321"/>
      <c r="S6" s="314"/>
      <c r="T6" s="321"/>
      <c r="U6" s="314"/>
      <c r="V6" s="321">
        <v>4793</v>
      </c>
      <c r="W6" s="314">
        <v>63160</v>
      </c>
      <c r="X6" s="321"/>
      <c r="Y6" s="1088"/>
      <c r="Z6" s="1089"/>
      <c r="AA6" s="1088"/>
      <c r="AB6" s="1089"/>
      <c r="AC6" s="314"/>
      <c r="AD6" s="321"/>
      <c r="AE6" s="1088"/>
      <c r="AF6" s="1089"/>
      <c r="AG6" s="1088"/>
      <c r="AH6" s="1089"/>
      <c r="AI6" s="314"/>
      <c r="AJ6" s="321"/>
      <c r="AK6" s="1088"/>
      <c r="AL6" s="1089"/>
      <c r="AM6" s="1088"/>
      <c r="AN6" s="1089"/>
      <c r="AO6" s="1089"/>
      <c r="AP6" s="1089"/>
      <c r="AQ6" s="1088"/>
      <c r="AR6" s="1089"/>
      <c r="AS6" s="1088"/>
      <c r="AT6" s="1089"/>
      <c r="AU6" s="1088"/>
      <c r="AV6" s="1089">
        <f t="shared" si="0"/>
        <v>4793</v>
      </c>
      <c r="AW6" s="1088">
        <f t="shared" si="0"/>
        <v>63160</v>
      </c>
      <c r="AX6" s="1089"/>
      <c r="AY6" s="1088"/>
      <c r="AZ6" s="1089">
        <f t="shared" ref="AZ6:BA67" si="1">AV6+AX6</f>
        <v>4793</v>
      </c>
      <c r="BA6" s="314">
        <f t="shared" si="1"/>
        <v>63160</v>
      </c>
    </row>
    <row r="7" spans="1:53" x14ac:dyDescent="0.3">
      <c r="A7" s="68" t="s">
        <v>310</v>
      </c>
      <c r="B7" s="1090">
        <v>2682948</v>
      </c>
      <c r="C7" s="1091">
        <v>3419991</v>
      </c>
      <c r="D7" s="1089">
        <v>7070805</v>
      </c>
      <c r="E7" s="1088">
        <v>8763705</v>
      </c>
      <c r="F7" s="1089"/>
      <c r="G7" s="1088"/>
      <c r="H7" s="1089">
        <v>95815136</v>
      </c>
      <c r="I7" s="1088">
        <v>99971220</v>
      </c>
      <c r="J7" s="1089">
        <v>2122304</v>
      </c>
      <c r="K7" s="1088">
        <v>2121108</v>
      </c>
      <c r="L7" s="1089">
        <v>1314825</v>
      </c>
      <c r="M7" s="314">
        <v>1529197</v>
      </c>
      <c r="N7" s="321">
        <v>8329217</v>
      </c>
      <c r="O7" s="314">
        <f>N7</f>
        <v>8329217</v>
      </c>
      <c r="P7" s="321">
        <v>16848478</v>
      </c>
      <c r="Q7" s="314">
        <v>16882622</v>
      </c>
      <c r="R7" s="321"/>
      <c r="S7" s="314"/>
      <c r="T7" s="321"/>
      <c r="U7" s="314"/>
      <c r="V7" s="321">
        <v>43783426</v>
      </c>
      <c r="W7" s="314">
        <v>57608889</v>
      </c>
      <c r="X7" s="321">
        <v>57541810</v>
      </c>
      <c r="Y7" s="1088">
        <v>66899782</v>
      </c>
      <c r="Z7" s="1089">
        <v>342733</v>
      </c>
      <c r="AA7" s="1088">
        <v>1337754</v>
      </c>
      <c r="AB7" s="1089">
        <v>2800000</v>
      </c>
      <c r="AC7" s="314">
        <f>AB7</f>
        <v>2800000</v>
      </c>
      <c r="AD7" s="321">
        <v>23115902</v>
      </c>
      <c r="AE7" s="1088">
        <v>29390365</v>
      </c>
      <c r="AF7" s="1089"/>
      <c r="AG7" s="1088">
        <v>9037616</v>
      </c>
      <c r="AH7" s="1089"/>
      <c r="AI7" s="314">
        <v>44386</v>
      </c>
      <c r="AJ7" s="321">
        <v>3031592</v>
      </c>
      <c r="AK7" s="1088">
        <v>3031592</v>
      </c>
      <c r="AL7" s="1089"/>
      <c r="AM7" s="1088"/>
      <c r="AN7" s="1089">
        <v>69619209</v>
      </c>
      <c r="AO7" s="1089">
        <v>69619209</v>
      </c>
      <c r="AP7" s="1089">
        <v>4471702</v>
      </c>
      <c r="AQ7" s="1088">
        <v>4849297</v>
      </c>
      <c r="AR7" s="1089">
        <v>3476177</v>
      </c>
      <c r="AS7" s="1088">
        <v>3833032</v>
      </c>
      <c r="AT7" s="1089">
        <v>489748</v>
      </c>
      <c r="AU7" s="1088">
        <v>821760</v>
      </c>
      <c r="AV7" s="1089">
        <f t="shared" si="0"/>
        <v>342856012</v>
      </c>
      <c r="AW7" s="1088">
        <f t="shared" si="0"/>
        <v>390290742</v>
      </c>
      <c r="AX7" s="1089"/>
      <c r="AY7" s="1088"/>
      <c r="AZ7" s="1089">
        <f t="shared" si="1"/>
        <v>342856012</v>
      </c>
      <c r="BA7" s="314">
        <f t="shared" si="1"/>
        <v>390290742</v>
      </c>
    </row>
    <row r="8" spans="1:53" x14ac:dyDescent="0.3">
      <c r="A8" s="68" t="s">
        <v>311</v>
      </c>
      <c r="B8" s="1090">
        <v>91863</v>
      </c>
      <c r="C8" s="1091">
        <v>106970</v>
      </c>
      <c r="D8" s="1089"/>
      <c r="E8" s="1088"/>
      <c r="F8" s="1089">
        <v>-2501</v>
      </c>
      <c r="G8" s="1088"/>
      <c r="H8" s="1089">
        <v>708809</v>
      </c>
      <c r="I8" s="1088">
        <v>1972151</v>
      </c>
      <c r="J8" s="1089">
        <v>-11483</v>
      </c>
      <c r="K8" s="1088">
        <v>-56749</v>
      </c>
      <c r="L8" s="1089">
        <v>26473</v>
      </c>
      <c r="M8" s="314">
        <v>8887</v>
      </c>
      <c r="N8" s="321">
        <v>-91274</v>
      </c>
      <c r="O8" s="314">
        <v>-189474</v>
      </c>
      <c r="P8" s="321">
        <v>99993</v>
      </c>
      <c r="Q8" s="314">
        <v>43305</v>
      </c>
      <c r="R8" s="321"/>
      <c r="S8" s="314">
        <v>623</v>
      </c>
      <c r="T8" s="321">
        <v>27915</v>
      </c>
      <c r="U8" s="314">
        <v>-8514</v>
      </c>
      <c r="V8" s="321">
        <v>-412525</v>
      </c>
      <c r="W8" s="314">
        <v>381917</v>
      </c>
      <c r="X8" s="321">
        <v>832088</v>
      </c>
      <c r="Y8" s="1088">
        <v>796697</v>
      </c>
      <c r="Z8" s="1089">
        <v>-22911</v>
      </c>
      <c r="AA8" s="1088">
        <v>-61786</v>
      </c>
      <c r="AB8" s="1089">
        <v>9080</v>
      </c>
      <c r="AC8" s="314">
        <v>15558</v>
      </c>
      <c r="AD8" s="321"/>
      <c r="AE8" s="1088">
        <v>-5111</v>
      </c>
      <c r="AF8" s="1089"/>
      <c r="AG8" s="1088">
        <v>114058</v>
      </c>
      <c r="AH8" s="1089">
        <v>-4688</v>
      </c>
      <c r="AI8" s="314">
        <v>-4500</v>
      </c>
      <c r="AJ8" s="321">
        <v>35162</v>
      </c>
      <c r="AK8" s="1088">
        <v>-211676</v>
      </c>
      <c r="AL8" s="1089"/>
      <c r="AM8" s="1088"/>
      <c r="AN8" s="1089">
        <v>1095425</v>
      </c>
      <c r="AO8" s="1089">
        <v>1095425</v>
      </c>
      <c r="AP8" s="1089">
        <v>132046</v>
      </c>
      <c r="AQ8" s="1088">
        <v>49933</v>
      </c>
      <c r="AR8" s="1089">
        <v>1303</v>
      </c>
      <c r="AS8" s="1088">
        <v>-599</v>
      </c>
      <c r="AT8" s="1089"/>
      <c r="AU8" s="1088"/>
      <c r="AV8" s="1089">
        <f t="shared" si="0"/>
        <v>2514775</v>
      </c>
      <c r="AW8" s="1088">
        <f t="shared" si="0"/>
        <v>4047115</v>
      </c>
      <c r="AX8" s="1089"/>
      <c r="AY8" s="1088"/>
      <c r="AZ8" s="1089">
        <f t="shared" si="1"/>
        <v>2514775</v>
      </c>
      <c r="BA8" s="314">
        <f t="shared" si="1"/>
        <v>4047115</v>
      </c>
    </row>
    <row r="9" spans="1:53" x14ac:dyDescent="0.3">
      <c r="A9" s="68" t="s">
        <v>312</v>
      </c>
      <c r="B9" s="1090"/>
      <c r="C9" s="1091"/>
      <c r="D9" s="1089"/>
      <c r="E9" s="1088"/>
      <c r="F9" s="1089"/>
      <c r="G9" s="1088"/>
      <c r="H9" s="1089"/>
      <c r="I9" s="1088"/>
      <c r="J9" s="1089"/>
      <c r="K9" s="1088"/>
      <c r="L9" s="1089"/>
      <c r="M9" s="314"/>
      <c r="N9" s="321"/>
      <c r="O9" s="314"/>
      <c r="P9" s="321"/>
      <c r="Q9" s="314"/>
      <c r="R9" s="321"/>
      <c r="S9" s="314"/>
      <c r="T9" s="321"/>
      <c r="U9" s="314"/>
      <c r="V9" s="321"/>
      <c r="W9" s="314"/>
      <c r="X9" s="321">
        <v>20</v>
      </c>
      <c r="Y9" s="1088">
        <v>13</v>
      </c>
      <c r="Z9" s="1089"/>
      <c r="AA9" s="317"/>
      <c r="AB9" s="1089"/>
      <c r="AC9" s="314"/>
      <c r="AD9" s="321"/>
      <c r="AE9" s="1088"/>
      <c r="AF9" s="1089"/>
      <c r="AG9" s="1088"/>
      <c r="AH9" s="1089"/>
      <c r="AI9" s="314"/>
      <c r="AJ9" s="321"/>
      <c r="AK9" s="1088"/>
      <c r="AL9" s="1089"/>
      <c r="AM9" s="1088"/>
      <c r="AN9" s="1089"/>
      <c r="AO9" s="1088"/>
      <c r="AP9" s="1089"/>
      <c r="AQ9" s="1088"/>
      <c r="AR9" s="1089"/>
      <c r="AS9" s="1088"/>
      <c r="AT9" s="1089"/>
      <c r="AU9" s="1088"/>
      <c r="AV9" s="1089"/>
      <c r="AW9" s="1088"/>
      <c r="AX9" s="1089"/>
      <c r="AY9" s="1088"/>
      <c r="AZ9" s="1089"/>
      <c r="BA9" s="314"/>
    </row>
    <row r="10" spans="1:53" s="1101" customFormat="1" ht="18" x14ac:dyDescent="0.35">
      <c r="A10" s="1092" t="s">
        <v>313</v>
      </c>
      <c r="B10" s="1093">
        <f t="shared" ref="B10:W10" si="2">SUM(B5:B8)</f>
        <v>21786891</v>
      </c>
      <c r="C10" s="1094">
        <f t="shared" si="2"/>
        <v>22539041</v>
      </c>
      <c r="D10" s="1095">
        <f t="shared" si="2"/>
        <v>21714346</v>
      </c>
      <c r="E10" s="1094">
        <f t="shared" si="2"/>
        <v>23442144</v>
      </c>
      <c r="F10" s="1095">
        <f t="shared" si="2"/>
        <v>20046499</v>
      </c>
      <c r="G10" s="1094">
        <f t="shared" si="2"/>
        <v>0</v>
      </c>
      <c r="H10" s="1095">
        <v>98031035</v>
      </c>
      <c r="I10" s="1094">
        <f t="shared" si="2"/>
        <v>103450461</v>
      </c>
      <c r="J10" s="1095">
        <f t="shared" si="2"/>
        <v>28622831</v>
      </c>
      <c r="K10" s="1094">
        <f t="shared" si="2"/>
        <v>31476369</v>
      </c>
      <c r="L10" s="1095">
        <f t="shared" si="2"/>
        <v>10841298</v>
      </c>
      <c r="M10" s="1096">
        <f t="shared" si="2"/>
        <v>11038084</v>
      </c>
      <c r="N10" s="1093">
        <f t="shared" si="2"/>
        <v>11978562</v>
      </c>
      <c r="O10" s="1096">
        <f t="shared" si="2"/>
        <v>11880362</v>
      </c>
      <c r="P10" s="1093">
        <f t="shared" si="2"/>
        <v>20074680</v>
      </c>
      <c r="Q10" s="1096">
        <f t="shared" si="2"/>
        <v>20052136</v>
      </c>
      <c r="R10" s="1093">
        <f t="shared" si="2"/>
        <v>18500000</v>
      </c>
      <c r="S10" s="1096">
        <f t="shared" si="2"/>
        <v>18500623</v>
      </c>
      <c r="T10" s="1093">
        <f t="shared" si="2"/>
        <v>18906121</v>
      </c>
      <c r="U10" s="1096">
        <f t="shared" si="2"/>
        <v>19349692</v>
      </c>
      <c r="V10" s="1093">
        <f t="shared" si="2"/>
        <v>63552414</v>
      </c>
      <c r="W10" s="1096">
        <f t="shared" si="2"/>
        <v>78248573</v>
      </c>
      <c r="X10" s="1093">
        <f>SUM(X5:X9)</f>
        <v>72742313</v>
      </c>
      <c r="Y10" s="1094">
        <f>SUM(Y5:Y9)</f>
        <v>82055519</v>
      </c>
      <c r="Z10" s="1094">
        <f t="shared" ref="Z10:AU10" si="3">SUM(Z5:Z9)</f>
        <v>8319822</v>
      </c>
      <c r="AA10" s="1094">
        <f t="shared" si="3"/>
        <v>9275968</v>
      </c>
      <c r="AB10" s="1094">
        <f t="shared" si="3"/>
        <v>9159080</v>
      </c>
      <c r="AC10" s="1094">
        <f t="shared" si="3"/>
        <v>9450173</v>
      </c>
      <c r="AD10" s="1094">
        <f t="shared" si="3"/>
        <v>28218804</v>
      </c>
      <c r="AE10" s="1094">
        <f t="shared" si="3"/>
        <v>34488156</v>
      </c>
      <c r="AF10" s="1094">
        <f t="shared" si="3"/>
        <v>0</v>
      </c>
      <c r="AG10" s="1094">
        <f t="shared" si="3"/>
        <v>28339803</v>
      </c>
      <c r="AH10" s="1094">
        <f t="shared" si="3"/>
        <v>20124155</v>
      </c>
      <c r="AI10" s="1094">
        <f t="shared" si="3"/>
        <v>20168729</v>
      </c>
      <c r="AJ10" s="1094">
        <f t="shared" si="3"/>
        <v>15029989</v>
      </c>
      <c r="AK10" s="1094">
        <f t="shared" si="3"/>
        <v>14783151</v>
      </c>
      <c r="AL10" s="1094">
        <f t="shared" si="3"/>
        <v>0</v>
      </c>
      <c r="AM10" s="1094">
        <f t="shared" si="3"/>
        <v>0</v>
      </c>
      <c r="AN10" s="1094">
        <f t="shared" si="3"/>
        <v>80714634</v>
      </c>
      <c r="AO10" s="1094">
        <f t="shared" si="3"/>
        <v>80715125</v>
      </c>
      <c r="AP10" s="1094">
        <f t="shared" si="3"/>
        <v>6360573</v>
      </c>
      <c r="AQ10" s="1094">
        <f t="shared" si="3"/>
        <v>6657783</v>
      </c>
      <c r="AR10" s="1094">
        <f t="shared" si="3"/>
        <v>6067121</v>
      </c>
      <c r="AS10" s="1094">
        <f t="shared" si="3"/>
        <v>6422074</v>
      </c>
      <c r="AT10" s="1094">
        <f t="shared" si="3"/>
        <v>20024748</v>
      </c>
      <c r="AU10" s="1094">
        <f t="shared" si="3"/>
        <v>20356760</v>
      </c>
      <c r="AV10" s="1089">
        <f t="shared" si="0"/>
        <v>600815916</v>
      </c>
      <c r="AW10" s="1088">
        <f t="shared" si="0"/>
        <v>652690726</v>
      </c>
      <c r="AX10" s="1097">
        <f>SUM(AX5:AX8)</f>
        <v>0</v>
      </c>
      <c r="AY10" s="1100">
        <f>SUM(AY5:AY8)</f>
        <v>0</v>
      </c>
      <c r="AZ10" s="1089">
        <f t="shared" si="1"/>
        <v>600815916</v>
      </c>
      <c r="BA10" s="314">
        <f t="shared" si="1"/>
        <v>652690726</v>
      </c>
    </row>
    <row r="11" spans="1:53" x14ac:dyDescent="0.3">
      <c r="A11" s="68" t="s">
        <v>314</v>
      </c>
      <c r="B11" s="1090"/>
      <c r="C11" s="1091"/>
      <c r="D11" s="1089">
        <v>700000</v>
      </c>
      <c r="E11" s="1088">
        <v>700000</v>
      </c>
      <c r="F11" s="1089"/>
      <c r="G11" s="1088"/>
      <c r="H11" s="1089"/>
      <c r="I11" s="1088"/>
      <c r="J11" s="1089">
        <v>600000</v>
      </c>
      <c r="K11" s="1088">
        <v>600000</v>
      </c>
      <c r="L11" s="1089"/>
      <c r="M11" s="314"/>
      <c r="N11" s="321"/>
      <c r="O11" s="314"/>
      <c r="P11" s="321"/>
      <c r="Q11" s="314"/>
      <c r="R11" s="321"/>
      <c r="S11" s="314"/>
      <c r="T11" s="321"/>
      <c r="U11" s="314"/>
      <c r="V11" s="321"/>
      <c r="W11" s="314">
        <v>6000000</v>
      </c>
      <c r="X11" s="321"/>
      <c r="Y11" s="1088"/>
      <c r="Z11" s="1089"/>
      <c r="AA11" s="1088"/>
      <c r="AB11" s="1089">
        <v>1000000</v>
      </c>
      <c r="AC11" s="314">
        <v>1000000</v>
      </c>
      <c r="AD11" s="321"/>
      <c r="AE11" s="1088"/>
      <c r="AF11" s="1089"/>
      <c r="AG11" s="1088"/>
      <c r="AH11" s="1089">
        <v>31810</v>
      </c>
      <c r="AI11" s="314"/>
      <c r="AJ11" s="321"/>
      <c r="AK11" s="1088"/>
      <c r="AL11" s="1089"/>
      <c r="AM11" s="1088"/>
      <c r="AN11" s="1089"/>
      <c r="AO11" s="1088"/>
      <c r="AP11" s="1089"/>
      <c r="AQ11" s="1088"/>
      <c r="AR11" s="1089"/>
      <c r="AS11" s="1088"/>
      <c r="AT11" s="1089"/>
      <c r="AU11" s="1088"/>
      <c r="AV11" s="1089">
        <f t="shared" si="0"/>
        <v>2331810</v>
      </c>
      <c r="AW11" s="1088">
        <f t="shared" si="0"/>
        <v>8300000</v>
      </c>
      <c r="AX11" s="1089"/>
      <c r="AY11" s="1088"/>
      <c r="AZ11" s="1089">
        <f t="shared" si="1"/>
        <v>2331810</v>
      </c>
      <c r="BA11" s="314">
        <f t="shared" si="1"/>
        <v>8300000</v>
      </c>
    </row>
    <row r="12" spans="1:53" x14ac:dyDescent="0.3">
      <c r="A12" s="1092" t="s">
        <v>315</v>
      </c>
      <c r="B12" s="1090"/>
      <c r="C12" s="1091"/>
      <c r="D12" s="1089"/>
      <c r="E12" s="1088"/>
      <c r="F12" s="1089"/>
      <c r="G12" s="1088"/>
      <c r="H12" s="1089"/>
      <c r="I12" s="1088"/>
      <c r="J12" s="1089"/>
      <c r="K12" s="1088"/>
      <c r="L12" s="1089"/>
      <c r="M12" s="314"/>
      <c r="N12" s="321"/>
      <c r="O12" s="314"/>
      <c r="P12" s="321"/>
      <c r="Q12" s="314"/>
      <c r="R12" s="321">
        <v>207580</v>
      </c>
      <c r="S12" s="314">
        <v>-341948</v>
      </c>
      <c r="T12" s="321"/>
      <c r="U12" s="314"/>
      <c r="V12" s="321"/>
      <c r="W12" s="314"/>
      <c r="X12" s="321"/>
      <c r="Y12" s="1088"/>
      <c r="Z12" s="1089"/>
      <c r="AA12" s="1088"/>
      <c r="AB12" s="1089"/>
      <c r="AC12" s="314"/>
      <c r="AD12" s="321"/>
      <c r="AE12" s="1088"/>
      <c r="AF12" s="1089"/>
      <c r="AG12" s="1088"/>
      <c r="AH12" s="1089"/>
      <c r="AI12" s="314"/>
      <c r="AJ12" s="321"/>
      <c r="AK12" s="1088"/>
      <c r="AL12" s="1089"/>
      <c r="AM12" s="1088"/>
      <c r="AN12" s="1089"/>
      <c r="AO12" s="1088"/>
      <c r="AP12" s="1089"/>
      <c r="AQ12" s="1088"/>
      <c r="AR12" s="1089"/>
      <c r="AS12" s="1088"/>
      <c r="AT12" s="1089"/>
      <c r="AU12" s="1088"/>
      <c r="AV12" s="1089">
        <f t="shared" si="0"/>
        <v>207580</v>
      </c>
      <c r="AW12" s="1088">
        <f t="shared" si="0"/>
        <v>-341948</v>
      </c>
      <c r="AX12" s="1089"/>
      <c r="AY12" s="1088"/>
      <c r="AZ12" s="1089">
        <f t="shared" si="1"/>
        <v>207580</v>
      </c>
      <c r="BA12" s="314">
        <f t="shared" si="1"/>
        <v>-341948</v>
      </c>
    </row>
    <row r="13" spans="1:53" x14ac:dyDescent="0.3">
      <c r="A13" s="68" t="s">
        <v>311</v>
      </c>
      <c r="B13" s="1090">
        <v>705187</v>
      </c>
      <c r="C13" s="1091">
        <v>1777340</v>
      </c>
      <c r="D13" s="1089"/>
      <c r="E13" s="1088">
        <v>-41168</v>
      </c>
      <c r="F13" s="1089">
        <v>-14689</v>
      </c>
      <c r="G13" s="1088"/>
      <c r="H13" s="1089">
        <v>9373369</v>
      </c>
      <c r="I13" s="1088">
        <v>10307840</v>
      </c>
      <c r="J13" s="1089">
        <v>56123</v>
      </c>
      <c r="K13" s="1088">
        <v>-22724</v>
      </c>
      <c r="L13" s="1089">
        <v>-14825</v>
      </c>
      <c r="M13" s="314">
        <v>136010</v>
      </c>
      <c r="N13" s="321">
        <v>-6887</v>
      </c>
      <c r="O13" s="314">
        <v>15007</v>
      </c>
      <c r="P13" s="321">
        <v>26322</v>
      </c>
      <c r="Q13" s="314">
        <v>174125</v>
      </c>
      <c r="R13" s="321"/>
      <c r="S13" s="314"/>
      <c r="T13" s="321">
        <v>46400</v>
      </c>
      <c r="U13" s="314">
        <v>-35148</v>
      </c>
      <c r="V13" s="321">
        <v>8030582</v>
      </c>
      <c r="W13" s="314">
        <v>11194448</v>
      </c>
      <c r="X13" s="321">
        <v>16972140</v>
      </c>
      <c r="Y13" s="1088">
        <v>17347431</v>
      </c>
      <c r="Z13" s="1089">
        <v>-150956</v>
      </c>
      <c r="AA13" s="1088">
        <v>-414909</v>
      </c>
      <c r="AB13" s="1089">
        <v>21701</v>
      </c>
      <c r="AC13" s="314">
        <v>-42375</v>
      </c>
      <c r="AD13" s="321">
        <v>2091327</v>
      </c>
      <c r="AE13" s="1088">
        <v>-292945</v>
      </c>
      <c r="AF13" s="1089"/>
      <c r="AG13" s="1088">
        <v>2796086</v>
      </c>
      <c r="AH13" s="1089">
        <v>-29928</v>
      </c>
      <c r="AI13" s="314">
        <v>676855</v>
      </c>
      <c r="AJ13" s="321">
        <v>-87189</v>
      </c>
      <c r="AK13" s="1088">
        <v>-1614139</v>
      </c>
      <c r="AL13" s="1089"/>
      <c r="AM13" s="1088"/>
      <c r="AN13" s="1089">
        <v>9054439</v>
      </c>
      <c r="AO13" s="1088">
        <v>3324675</v>
      </c>
      <c r="AP13" s="1089">
        <v>243800</v>
      </c>
      <c r="AQ13" s="1088">
        <v>88215</v>
      </c>
      <c r="AR13" s="1089">
        <v>-4868</v>
      </c>
      <c r="AS13" s="1088">
        <v>-15765</v>
      </c>
      <c r="AT13" s="1089">
        <v>7490898</v>
      </c>
      <c r="AU13" s="1088">
        <v>7054105</v>
      </c>
      <c r="AV13" s="1089">
        <f t="shared" si="0"/>
        <v>53802946</v>
      </c>
      <c r="AW13" s="1088">
        <f t="shared" si="0"/>
        <v>52412964</v>
      </c>
      <c r="AX13" s="1089"/>
      <c r="AY13" s="1088"/>
      <c r="AZ13" s="1089">
        <f t="shared" si="1"/>
        <v>53802946</v>
      </c>
      <c r="BA13" s="314">
        <f t="shared" si="1"/>
        <v>52412964</v>
      </c>
    </row>
    <row r="14" spans="1:53" x14ac:dyDescent="0.3">
      <c r="A14" s="68" t="s">
        <v>316</v>
      </c>
      <c r="B14" s="1090"/>
      <c r="C14" s="1091"/>
      <c r="D14" s="1089"/>
      <c r="E14" s="1088"/>
      <c r="F14" s="1089"/>
      <c r="G14" s="1088"/>
      <c r="H14" s="1089">
        <v>251494938</v>
      </c>
      <c r="I14" s="1088">
        <v>290465917</v>
      </c>
      <c r="J14" s="1089"/>
      <c r="K14" s="1088"/>
      <c r="L14" s="1089"/>
      <c r="M14" s="314"/>
      <c r="N14" s="321"/>
      <c r="O14" s="314"/>
      <c r="P14" s="321"/>
      <c r="Q14" s="314"/>
      <c r="R14" s="321">
        <f>72971202+97431+27742566+1080619+8512922+9725334</f>
        <v>120130074</v>
      </c>
      <c r="S14" s="314">
        <f>82848326+184177+33037708+1636188+8307692+10169005</f>
        <v>136183096</v>
      </c>
      <c r="T14" s="321"/>
      <c r="U14" s="314"/>
      <c r="V14" s="321"/>
      <c r="W14" s="314"/>
      <c r="X14" s="321">
        <v>648079</v>
      </c>
      <c r="Y14" s="1088">
        <v>655199</v>
      </c>
      <c r="Z14" s="1089"/>
      <c r="AA14" s="1088"/>
      <c r="AB14" s="1089"/>
      <c r="AC14" s="314"/>
      <c r="AD14" s="321">
        <v>340921</v>
      </c>
      <c r="AE14" s="1088">
        <v>433139</v>
      </c>
      <c r="AF14" s="1089"/>
      <c r="AG14" s="1088">
        <v>22248</v>
      </c>
      <c r="AH14" s="1089"/>
      <c r="AI14" s="314"/>
      <c r="AJ14" s="321"/>
      <c r="AK14" s="1088"/>
      <c r="AL14" s="1089"/>
      <c r="AM14" s="1088"/>
      <c r="AN14" s="1089"/>
      <c r="AO14" s="1088"/>
      <c r="AP14" s="1089"/>
      <c r="AQ14" s="1088"/>
      <c r="AR14" s="1089"/>
      <c r="AS14" s="1088"/>
      <c r="AT14" s="1089"/>
      <c r="AU14" s="1088"/>
      <c r="AV14" s="1089">
        <f t="shared" si="0"/>
        <v>372614012</v>
      </c>
      <c r="AW14" s="1088">
        <f t="shared" si="0"/>
        <v>427759599</v>
      </c>
      <c r="AX14" s="1089"/>
      <c r="AY14" s="1088"/>
      <c r="AZ14" s="1089">
        <f t="shared" si="1"/>
        <v>372614012</v>
      </c>
      <c r="BA14" s="314">
        <f t="shared" si="1"/>
        <v>427759599</v>
      </c>
    </row>
    <row r="15" spans="1:53" x14ac:dyDescent="0.3">
      <c r="A15" s="68" t="s">
        <v>317</v>
      </c>
      <c r="B15" s="1090">
        <v>150279446</v>
      </c>
      <c r="C15" s="1091">
        <v>194295143</v>
      </c>
      <c r="D15" s="1089">
        <v>13357305</v>
      </c>
      <c r="E15" s="1088">
        <v>16251521</v>
      </c>
      <c r="F15" s="1089"/>
      <c r="G15" s="1088"/>
      <c r="H15" s="1089"/>
      <c r="I15" s="1088"/>
      <c r="J15" s="1089">
        <v>50340205</v>
      </c>
      <c r="K15" s="1088">
        <v>64622454</v>
      </c>
      <c r="L15" s="1089"/>
      <c r="M15" s="314"/>
      <c r="N15" s="321">
        <v>35313885</v>
      </c>
      <c r="O15" s="314">
        <v>40508982</v>
      </c>
      <c r="P15" s="321">
        <v>16754375</v>
      </c>
      <c r="Q15" s="314">
        <v>22341258</v>
      </c>
      <c r="R15" s="321"/>
      <c r="S15" s="314"/>
      <c r="T15" s="321">
        <v>32278336</v>
      </c>
      <c r="U15" s="314">
        <v>37160934</v>
      </c>
      <c r="V15" s="321">
        <v>597085489</v>
      </c>
      <c r="W15" s="314">
        <v>745799619</v>
      </c>
      <c r="X15" s="321"/>
      <c r="Y15" s="1088"/>
      <c r="Z15" s="1089"/>
      <c r="AA15" s="1088"/>
      <c r="AB15" s="1089">
        <v>97048058</v>
      </c>
      <c r="AC15" s="314">
        <v>92183094</v>
      </c>
      <c r="AD15" s="321">
        <v>149683837</v>
      </c>
      <c r="AE15" s="1088">
        <v>191936159</v>
      </c>
      <c r="AF15" s="1089"/>
      <c r="AG15" s="1088">
        <v>500285498</v>
      </c>
      <c r="AH15" s="1089">
        <v>138684950</v>
      </c>
      <c r="AI15" s="314">
        <v>171223269</v>
      </c>
      <c r="AJ15" s="321">
        <v>136332457</v>
      </c>
      <c r="AK15" s="1088">
        <v>158294657</v>
      </c>
      <c r="AL15" s="1089"/>
      <c r="AM15" s="1088"/>
      <c r="AN15" s="1089">
        <v>705047996</v>
      </c>
      <c r="AO15" s="1088">
        <v>834539045</v>
      </c>
      <c r="AP15" s="1089">
        <v>35301586</v>
      </c>
      <c r="AQ15" s="1088">
        <v>44848229</v>
      </c>
      <c r="AR15" s="1089">
        <v>56979982</v>
      </c>
      <c r="AS15" s="1088">
        <v>73280585</v>
      </c>
      <c r="AT15" s="1089">
        <v>175825172</v>
      </c>
      <c r="AU15" s="1088">
        <v>222593763</v>
      </c>
      <c r="AV15" s="1089">
        <f t="shared" si="0"/>
        <v>2390313079</v>
      </c>
      <c r="AW15" s="1088">
        <f t="shared" si="0"/>
        <v>3410164210</v>
      </c>
      <c r="AX15" s="1089"/>
      <c r="AY15" s="1088"/>
      <c r="AZ15" s="1089">
        <f t="shared" si="1"/>
        <v>2390313079</v>
      </c>
      <c r="BA15" s="314">
        <f t="shared" si="1"/>
        <v>3410164210</v>
      </c>
    </row>
    <row r="16" spans="1:53" x14ac:dyDescent="0.3">
      <c r="A16" s="68" t="s">
        <v>318</v>
      </c>
      <c r="B16" s="1090"/>
      <c r="C16" s="1091"/>
      <c r="D16" s="1089"/>
      <c r="E16" s="1088"/>
      <c r="F16" s="1089">
        <v>180944</v>
      </c>
      <c r="G16" s="1088"/>
      <c r="H16" s="1089"/>
      <c r="I16" s="1088"/>
      <c r="J16" s="1089"/>
      <c r="K16" s="1088"/>
      <c r="L16" s="1089">
        <v>571746</v>
      </c>
      <c r="M16" s="314">
        <v>1035460</v>
      </c>
      <c r="N16" s="321"/>
      <c r="O16" s="314"/>
      <c r="P16" s="321"/>
      <c r="Q16" s="314"/>
      <c r="R16" s="321"/>
      <c r="S16" s="314"/>
      <c r="T16" s="321"/>
      <c r="U16" s="314"/>
      <c r="V16" s="321"/>
      <c r="W16" s="314"/>
      <c r="X16" s="321"/>
      <c r="Y16" s="1088"/>
      <c r="Z16" s="1089"/>
      <c r="AA16" s="1088"/>
      <c r="AB16" s="1089"/>
      <c r="AC16" s="314"/>
      <c r="AD16" s="321"/>
      <c r="AE16" s="1088"/>
      <c r="AF16" s="1089"/>
      <c r="AG16" s="1088">
        <v>23676522</v>
      </c>
      <c r="AH16" s="1089"/>
      <c r="AI16" s="314"/>
      <c r="AJ16" s="321"/>
      <c r="AK16" s="1088"/>
      <c r="AL16" s="1089"/>
      <c r="AM16" s="1088"/>
      <c r="AN16" s="1089"/>
      <c r="AO16" s="1088"/>
      <c r="AP16" s="1089"/>
      <c r="AQ16" s="1088"/>
      <c r="AR16" s="1089"/>
      <c r="AS16" s="1088"/>
      <c r="AT16" s="1089"/>
      <c r="AU16" s="1088"/>
      <c r="AV16" s="1089">
        <f t="shared" si="0"/>
        <v>752690</v>
      </c>
      <c r="AW16" s="1088">
        <f t="shared" si="0"/>
        <v>24711982</v>
      </c>
      <c r="AX16" s="1089"/>
      <c r="AY16" s="1088"/>
      <c r="AZ16" s="1089">
        <f t="shared" si="1"/>
        <v>752690</v>
      </c>
      <c r="BA16" s="314">
        <f t="shared" si="1"/>
        <v>24711982</v>
      </c>
    </row>
    <row r="17" spans="1:53" x14ac:dyDescent="0.3">
      <c r="A17" s="1092" t="s">
        <v>317</v>
      </c>
      <c r="B17" s="1090"/>
      <c r="C17" s="1091"/>
      <c r="D17" s="1089"/>
      <c r="E17" s="1088"/>
      <c r="F17" s="1089"/>
      <c r="G17" s="1088"/>
      <c r="H17" s="1089"/>
      <c r="I17" s="1088"/>
      <c r="J17" s="1089"/>
      <c r="K17" s="1088"/>
      <c r="L17" s="1089">
        <v>51595793</v>
      </c>
      <c r="M17" s="314">
        <v>71210119</v>
      </c>
      <c r="N17" s="321"/>
      <c r="O17" s="314"/>
      <c r="P17" s="321"/>
      <c r="Q17" s="314"/>
      <c r="R17" s="321"/>
      <c r="S17" s="314"/>
      <c r="T17" s="321"/>
      <c r="U17" s="314"/>
      <c r="V17" s="321"/>
      <c r="W17" s="314"/>
      <c r="X17" s="321">
        <v>1548872182</v>
      </c>
      <c r="Y17" s="1088">
        <v>1695811278</v>
      </c>
      <c r="Z17" s="1089">
        <v>60212223</v>
      </c>
      <c r="AA17" s="1088">
        <v>70134080</v>
      </c>
      <c r="AB17" s="1089"/>
      <c r="AC17" s="314"/>
      <c r="AD17" s="321"/>
      <c r="AE17" s="1088"/>
      <c r="AF17" s="1089"/>
      <c r="AG17" s="1088"/>
      <c r="AH17" s="1089"/>
      <c r="AI17" s="314"/>
      <c r="AJ17" s="321"/>
      <c r="AK17" s="1088"/>
      <c r="AL17" s="1089"/>
      <c r="AM17" s="1088"/>
      <c r="AN17" s="1089"/>
      <c r="AO17" s="1088"/>
      <c r="AP17" s="1089"/>
      <c r="AQ17" s="1088"/>
      <c r="AR17" s="1089"/>
      <c r="AS17" s="1088"/>
      <c r="AT17" s="1089"/>
      <c r="AU17" s="1088"/>
      <c r="AV17" s="1089">
        <f t="shared" si="0"/>
        <v>1660680198</v>
      </c>
      <c r="AW17" s="1088">
        <f t="shared" si="0"/>
        <v>1837155477</v>
      </c>
      <c r="AX17" s="1089"/>
      <c r="AY17" s="1088"/>
      <c r="AZ17" s="1089">
        <f t="shared" si="1"/>
        <v>1660680198</v>
      </c>
      <c r="BA17" s="314">
        <f t="shared" si="1"/>
        <v>1837155477</v>
      </c>
    </row>
    <row r="18" spans="1:53" x14ac:dyDescent="0.3">
      <c r="A18" s="68" t="s">
        <v>319</v>
      </c>
      <c r="B18" s="1090"/>
      <c r="C18" s="1091"/>
      <c r="D18" s="1089"/>
      <c r="E18" s="1088"/>
      <c r="F18" s="1089">
        <f>299695+16916+3</f>
        <v>316614</v>
      </c>
      <c r="G18" s="1088"/>
      <c r="H18" s="1089"/>
      <c r="I18" s="1088"/>
      <c r="J18" s="1089"/>
      <c r="K18" s="1088"/>
      <c r="L18" s="1089"/>
      <c r="M18" s="314"/>
      <c r="N18" s="321"/>
      <c r="O18" s="314"/>
      <c r="P18" s="321"/>
      <c r="Q18" s="314"/>
      <c r="R18" s="321"/>
      <c r="S18" s="314"/>
      <c r="T18" s="321"/>
      <c r="U18" s="314"/>
      <c r="V18" s="321"/>
      <c r="W18" s="314"/>
      <c r="X18" s="321"/>
      <c r="Y18" s="1088"/>
      <c r="Z18" s="1089"/>
      <c r="AA18" s="1088"/>
      <c r="AB18" s="1089"/>
      <c r="AC18" s="314"/>
      <c r="AD18" s="321"/>
      <c r="AE18" s="1088"/>
      <c r="AF18" s="1089"/>
      <c r="AG18" s="1088"/>
      <c r="AH18" s="1089"/>
      <c r="AI18" s="314"/>
      <c r="AJ18" s="321"/>
      <c r="AK18" s="1088"/>
      <c r="AL18" s="1089"/>
      <c r="AM18" s="1088"/>
      <c r="AN18" s="1089"/>
      <c r="AO18" s="1088"/>
      <c r="AP18" s="1089"/>
      <c r="AQ18" s="1088"/>
      <c r="AR18" s="1089">
        <v>20122892</v>
      </c>
      <c r="AS18" s="1088">
        <v>19153120</v>
      </c>
      <c r="AT18" s="1089"/>
      <c r="AU18" s="1088"/>
      <c r="AV18" s="1089">
        <f t="shared" si="0"/>
        <v>20439506</v>
      </c>
      <c r="AW18" s="1088">
        <f t="shared" si="0"/>
        <v>19153120</v>
      </c>
      <c r="AX18" s="1089"/>
      <c r="AY18" s="1088"/>
      <c r="AZ18" s="1089">
        <f t="shared" si="1"/>
        <v>20439506</v>
      </c>
      <c r="BA18" s="314">
        <f t="shared" si="1"/>
        <v>19153120</v>
      </c>
    </row>
    <row r="19" spans="1:53" x14ac:dyDescent="0.3">
      <c r="A19" s="68" t="s">
        <v>320</v>
      </c>
      <c r="B19" s="1090"/>
      <c r="C19" s="1091"/>
      <c r="D19" s="1089"/>
      <c r="E19" s="1088"/>
      <c r="F19" s="1089">
        <f>164121+11883+48654810+1615595+401345+546402+428783+162186+105185</f>
        <v>52090310</v>
      </c>
      <c r="G19" s="1088"/>
      <c r="H19" s="1089"/>
      <c r="I19" s="1088"/>
      <c r="J19" s="1089"/>
      <c r="K19" s="1088"/>
      <c r="L19" s="1089"/>
      <c r="M19" s="314"/>
      <c r="N19" s="321"/>
      <c r="O19" s="314"/>
      <c r="P19" s="321"/>
      <c r="Q19" s="314"/>
      <c r="R19" s="321"/>
      <c r="S19" s="314"/>
      <c r="T19" s="321"/>
      <c r="U19" s="314"/>
      <c r="V19" s="321"/>
      <c r="W19" s="314"/>
      <c r="X19" s="321">
        <v>424051734</v>
      </c>
      <c r="Y19" s="1088">
        <v>521868582</v>
      </c>
      <c r="Z19" s="1089"/>
      <c r="AA19" s="1088"/>
      <c r="AB19" s="1089"/>
      <c r="AC19" s="314"/>
      <c r="AD19" s="321"/>
      <c r="AE19" s="1088"/>
      <c r="AF19" s="1089"/>
      <c r="AG19" s="1088"/>
      <c r="AH19" s="1089"/>
      <c r="AI19" s="314"/>
      <c r="AJ19" s="321"/>
      <c r="AK19" s="1088"/>
      <c r="AL19" s="1089"/>
      <c r="AM19" s="1088"/>
      <c r="AN19" s="1089"/>
      <c r="AO19" s="1088"/>
      <c r="AP19" s="1089"/>
      <c r="AQ19" s="1088"/>
      <c r="AR19" s="1089"/>
      <c r="AS19" s="1088"/>
      <c r="AT19" s="1089"/>
      <c r="AU19" s="1088"/>
      <c r="AV19" s="1089">
        <f t="shared" si="0"/>
        <v>476142044</v>
      </c>
      <c r="AW19" s="1088">
        <f t="shared" si="0"/>
        <v>521868582</v>
      </c>
      <c r="AX19" s="1089"/>
      <c r="AY19" s="1088"/>
      <c r="AZ19" s="1089">
        <f t="shared" si="1"/>
        <v>476142044</v>
      </c>
      <c r="BA19" s="314">
        <f t="shared" si="1"/>
        <v>521868582</v>
      </c>
    </row>
    <row r="20" spans="1:53" x14ac:dyDescent="0.3">
      <c r="A20" s="1092" t="s">
        <v>321</v>
      </c>
      <c r="B20" s="1090"/>
      <c r="C20" s="1091"/>
      <c r="D20" s="1089"/>
      <c r="E20" s="1088"/>
      <c r="F20" s="1089"/>
      <c r="G20" s="1088"/>
      <c r="H20" s="1089">
        <v>477173415</v>
      </c>
      <c r="I20" s="1088">
        <v>529642876</v>
      </c>
      <c r="J20" s="1089"/>
      <c r="K20" s="1088"/>
      <c r="L20" s="1089"/>
      <c r="M20" s="314"/>
      <c r="N20" s="321"/>
      <c r="O20" s="314"/>
      <c r="P20" s="321"/>
      <c r="Q20" s="314"/>
      <c r="R20" s="321"/>
      <c r="S20" s="314"/>
      <c r="T20" s="321"/>
      <c r="U20" s="314"/>
      <c r="V20" s="321"/>
      <c r="W20" s="314"/>
      <c r="X20" s="321"/>
      <c r="Y20" s="1088"/>
      <c r="Z20" s="1089"/>
      <c r="AA20" s="1088"/>
      <c r="AB20" s="1089"/>
      <c r="AC20" s="314"/>
      <c r="AD20" s="321"/>
      <c r="AE20" s="1088"/>
      <c r="AF20" s="1089"/>
      <c r="AG20" s="1088"/>
      <c r="AH20" s="1089"/>
      <c r="AI20" s="314"/>
      <c r="AJ20" s="321"/>
      <c r="AK20" s="1088"/>
      <c r="AL20" s="1089"/>
      <c r="AM20" s="1088"/>
      <c r="AN20" s="1089"/>
      <c r="AO20" s="1088"/>
      <c r="AP20" s="1089"/>
      <c r="AQ20" s="1088"/>
      <c r="AR20" s="1089"/>
      <c r="AS20" s="1088"/>
      <c r="AT20" s="1089">
        <v>2111</v>
      </c>
      <c r="AU20" s="1088">
        <v>4425</v>
      </c>
      <c r="AV20" s="1089">
        <f t="shared" si="0"/>
        <v>477175526</v>
      </c>
      <c r="AW20" s="1088">
        <f t="shared" si="0"/>
        <v>529647301</v>
      </c>
      <c r="AX20" s="1089"/>
      <c r="AY20" s="1088"/>
      <c r="AZ20" s="1089">
        <f t="shared" si="1"/>
        <v>477175526</v>
      </c>
      <c r="BA20" s="314">
        <f t="shared" si="1"/>
        <v>529647301</v>
      </c>
    </row>
    <row r="21" spans="1:53" x14ac:dyDescent="0.3">
      <c r="A21" s="68" t="s">
        <v>322</v>
      </c>
      <c r="B21" s="1090"/>
      <c r="C21" s="1091"/>
      <c r="D21" s="1089">
        <v>8530441</v>
      </c>
      <c r="E21" s="1088">
        <v>6821090</v>
      </c>
      <c r="F21" s="1089"/>
      <c r="G21" s="1088"/>
      <c r="H21" s="1089"/>
      <c r="I21" s="1088"/>
      <c r="J21" s="1089"/>
      <c r="K21" s="1088"/>
      <c r="L21" s="1089"/>
      <c r="M21" s="314"/>
      <c r="N21" s="321"/>
      <c r="O21" s="314"/>
      <c r="P21" s="321"/>
      <c r="Q21" s="314"/>
      <c r="R21" s="321"/>
      <c r="S21" s="314"/>
      <c r="T21" s="321"/>
      <c r="U21" s="314"/>
      <c r="V21" s="321"/>
      <c r="W21" s="314"/>
      <c r="X21" s="321"/>
      <c r="Y21" s="1088"/>
      <c r="Z21" s="1089"/>
      <c r="AA21" s="1088"/>
      <c r="AB21" s="1089"/>
      <c r="AC21" s="314"/>
      <c r="AD21" s="321"/>
      <c r="AE21" s="1088"/>
      <c r="AF21" s="1089"/>
      <c r="AG21" s="1088"/>
      <c r="AH21" s="1089"/>
      <c r="AI21" s="314"/>
      <c r="AJ21" s="321"/>
      <c r="AK21" s="1088"/>
      <c r="AL21" s="1089"/>
      <c r="AM21" s="1088"/>
      <c r="AN21" s="1089"/>
      <c r="AO21" s="1088"/>
      <c r="AP21" s="1089"/>
      <c r="AQ21" s="1088"/>
      <c r="AR21" s="1089"/>
      <c r="AS21" s="1088"/>
      <c r="AT21" s="1089"/>
      <c r="AU21" s="1088"/>
      <c r="AV21" s="1089">
        <f t="shared" si="0"/>
        <v>8530441</v>
      </c>
      <c r="AW21" s="1088">
        <f t="shared" si="0"/>
        <v>6821090</v>
      </c>
      <c r="AX21" s="1089"/>
      <c r="AY21" s="1088"/>
      <c r="AZ21" s="1089">
        <f t="shared" si="1"/>
        <v>8530441</v>
      </c>
      <c r="BA21" s="314">
        <f t="shared" si="1"/>
        <v>6821090</v>
      </c>
    </row>
    <row r="22" spans="1:53" x14ac:dyDescent="0.3">
      <c r="A22" s="68" t="s">
        <v>323</v>
      </c>
      <c r="B22" s="1090"/>
      <c r="C22" s="1091"/>
      <c r="D22" s="1089">
        <v>-335067</v>
      </c>
      <c r="E22" s="1088">
        <v>1238747</v>
      </c>
      <c r="F22" s="1089"/>
      <c r="G22" s="1088"/>
      <c r="H22" s="1089"/>
      <c r="I22" s="1088"/>
      <c r="J22" s="1089"/>
      <c r="K22" s="1088"/>
      <c r="L22" s="1089"/>
      <c r="M22" s="314"/>
      <c r="N22" s="321"/>
      <c r="O22" s="314"/>
      <c r="P22" s="321"/>
      <c r="Q22" s="314"/>
      <c r="R22" s="321">
        <v>1750723</v>
      </c>
      <c r="S22" s="314">
        <v>1531998</v>
      </c>
      <c r="T22" s="321"/>
      <c r="U22" s="314"/>
      <c r="V22" s="321"/>
      <c r="W22" s="314"/>
      <c r="X22" s="321"/>
      <c r="Y22" s="1088"/>
      <c r="Z22" s="1089"/>
      <c r="AA22" s="1088"/>
      <c r="AB22" s="1089"/>
      <c r="AC22" s="314"/>
      <c r="AD22" s="321"/>
      <c r="AE22" s="1088"/>
      <c r="AF22" s="1089"/>
      <c r="AG22" s="1088"/>
      <c r="AH22" s="1089"/>
      <c r="AI22" s="314"/>
      <c r="AJ22" s="321"/>
      <c r="AK22" s="1088"/>
      <c r="AL22" s="1089"/>
      <c r="AM22" s="1088"/>
      <c r="AN22" s="1089"/>
      <c r="AO22" s="1088"/>
      <c r="AP22" s="1089"/>
      <c r="AQ22" s="1088"/>
      <c r="AR22" s="1089">
        <v>2757659</v>
      </c>
      <c r="AS22" s="1088">
        <v>1998558</v>
      </c>
      <c r="AT22" s="1089"/>
      <c r="AU22" s="1088"/>
      <c r="AV22" s="1089">
        <f t="shared" si="0"/>
        <v>4173315</v>
      </c>
      <c r="AW22" s="1088">
        <f t="shared" si="0"/>
        <v>4769303</v>
      </c>
      <c r="AX22" s="1089"/>
      <c r="AY22" s="1088"/>
      <c r="AZ22" s="1089">
        <f t="shared" si="1"/>
        <v>4173315</v>
      </c>
      <c r="BA22" s="314">
        <f t="shared" si="1"/>
        <v>4769303</v>
      </c>
    </row>
    <row r="23" spans="1:53" x14ac:dyDescent="0.3">
      <c r="A23" s="1092" t="s">
        <v>324</v>
      </c>
      <c r="B23" s="1090">
        <v>225933259</v>
      </c>
      <c r="C23" s="1091">
        <v>233199900</v>
      </c>
      <c r="D23" s="1089">
        <v>8195374</v>
      </c>
      <c r="E23" s="1088">
        <v>8059837</v>
      </c>
      <c r="F23" s="1089">
        <f>460297+31966+23593517+3321051+3514537</f>
        <v>30921368</v>
      </c>
      <c r="G23" s="1088"/>
      <c r="H23" s="1089"/>
      <c r="I23" s="1088"/>
      <c r="J23" s="1089">
        <v>10437618</v>
      </c>
      <c r="K23" s="1088">
        <v>11518871</v>
      </c>
      <c r="L23" s="1089">
        <f>79344553+968360</f>
        <v>80312913</v>
      </c>
      <c r="M23" s="314">
        <f>81504922+728148</f>
        <v>82233070</v>
      </c>
      <c r="N23" s="321">
        <v>3647193</v>
      </c>
      <c r="O23" s="314">
        <v>3626535</v>
      </c>
      <c r="P23" s="321">
        <v>6158299</v>
      </c>
      <c r="Q23" s="314">
        <v>8209837</v>
      </c>
      <c r="R23" s="321">
        <v>16832013</v>
      </c>
      <c r="S23" s="314">
        <v>16108907</v>
      </c>
      <c r="T23" s="321">
        <v>5205765</v>
      </c>
      <c r="U23" s="314">
        <v>5088218</v>
      </c>
      <c r="V23" s="321">
        <v>597463603</v>
      </c>
      <c r="W23" s="314">
        <v>615577318</v>
      </c>
      <c r="X23" s="321">
        <v>1039313545</v>
      </c>
      <c r="Y23" s="1088">
        <v>1070718876</v>
      </c>
      <c r="Z23" s="1089">
        <v>27068100</v>
      </c>
      <c r="AA23" s="1088">
        <v>27626360</v>
      </c>
      <c r="AB23" s="1089">
        <v>42009378</v>
      </c>
      <c r="AC23" s="314">
        <v>44191775</v>
      </c>
      <c r="AD23" s="321">
        <v>141495092</v>
      </c>
      <c r="AE23" s="1088">
        <v>152561503</v>
      </c>
      <c r="AF23" s="1089"/>
      <c r="AG23" s="1088">
        <v>206126879</v>
      </c>
      <c r="AH23" s="1089">
        <f>495413+55841185</f>
        <v>56336598</v>
      </c>
      <c r="AI23" s="314">
        <f>556993+53402364</f>
        <v>53959357</v>
      </c>
      <c r="AJ23" s="321">
        <v>53521312</v>
      </c>
      <c r="AK23" s="1088">
        <v>46756107</v>
      </c>
      <c r="AL23" s="1089"/>
      <c r="AM23" s="1088"/>
      <c r="AN23" s="1089">
        <v>675422345</v>
      </c>
      <c r="AO23" s="1088">
        <v>818185688</v>
      </c>
      <c r="AP23" s="1089">
        <v>4953479</v>
      </c>
      <c r="AQ23" s="1088">
        <v>4666277</v>
      </c>
      <c r="AR23" s="1089"/>
      <c r="AS23" s="1088"/>
      <c r="AT23" s="1089">
        <v>103109434</v>
      </c>
      <c r="AU23" s="1088">
        <v>115872118</v>
      </c>
      <c r="AV23" s="1089">
        <f t="shared" si="0"/>
        <v>3128336688</v>
      </c>
      <c r="AW23" s="1088">
        <f t="shared" si="0"/>
        <v>3524287433</v>
      </c>
      <c r="AX23" s="1089"/>
      <c r="AY23" s="1088"/>
      <c r="AZ23" s="1089">
        <f t="shared" si="1"/>
        <v>3128336688</v>
      </c>
      <c r="BA23" s="314">
        <f t="shared" si="1"/>
        <v>3524287433</v>
      </c>
    </row>
    <row r="24" spans="1:53" x14ac:dyDescent="0.3">
      <c r="A24" s="68" t="s">
        <v>325</v>
      </c>
      <c r="B24" s="1090"/>
      <c r="C24" s="1091"/>
      <c r="D24" s="1089"/>
      <c r="E24" s="1088"/>
      <c r="F24" s="1089"/>
      <c r="G24" s="1088"/>
      <c r="H24" s="1089"/>
      <c r="I24" s="1088"/>
      <c r="J24" s="1089"/>
      <c r="K24" s="1088"/>
      <c r="L24" s="1089">
        <v>7584730</v>
      </c>
      <c r="M24" s="314">
        <v>8558616</v>
      </c>
      <c r="N24" s="321"/>
      <c r="O24" s="314"/>
      <c r="P24" s="321">
        <v>233926</v>
      </c>
      <c r="Q24" s="314">
        <v>245021</v>
      </c>
      <c r="R24" s="321"/>
      <c r="S24" s="314"/>
      <c r="T24" s="321"/>
      <c r="U24" s="314"/>
      <c r="V24" s="321"/>
      <c r="W24" s="314"/>
      <c r="X24" s="321"/>
      <c r="Y24" s="1088"/>
      <c r="Z24" s="1089"/>
      <c r="AA24" s="1088"/>
      <c r="AB24" s="1089"/>
      <c r="AC24" s="314"/>
      <c r="AD24" s="321"/>
      <c r="AE24" s="1088"/>
      <c r="AF24" s="1089"/>
      <c r="AG24" s="1088"/>
      <c r="AH24" s="1089"/>
      <c r="AI24" s="314"/>
      <c r="AJ24" s="321"/>
      <c r="AK24" s="1088"/>
      <c r="AL24" s="1089"/>
      <c r="AM24" s="1088"/>
      <c r="AN24" s="1089"/>
      <c r="AO24" s="1088"/>
      <c r="AP24" s="1089"/>
      <c r="AQ24" s="1088"/>
      <c r="AR24" s="1089"/>
      <c r="AS24" s="1088"/>
      <c r="AT24" s="1089"/>
      <c r="AU24" s="1088"/>
      <c r="AV24" s="1089">
        <f t="shared" si="0"/>
        <v>7818656</v>
      </c>
      <c r="AW24" s="1088">
        <f t="shared" si="0"/>
        <v>8803637</v>
      </c>
      <c r="AX24" s="1089"/>
      <c r="AY24" s="1088"/>
      <c r="AZ24" s="1089">
        <f t="shared" si="1"/>
        <v>7818656</v>
      </c>
      <c r="BA24" s="314">
        <f t="shared" si="1"/>
        <v>8803637</v>
      </c>
    </row>
    <row r="25" spans="1:53" x14ac:dyDescent="0.3">
      <c r="A25" s="68" t="s">
        <v>326</v>
      </c>
      <c r="B25" s="1090"/>
      <c r="C25" s="1091"/>
      <c r="D25" s="1089"/>
      <c r="E25" s="1088"/>
      <c r="F25" s="1089"/>
      <c r="G25" s="1088"/>
      <c r="H25" s="1089"/>
      <c r="I25" s="1088"/>
      <c r="J25" s="1089"/>
      <c r="K25" s="1088"/>
      <c r="L25" s="1089"/>
      <c r="M25" s="314"/>
      <c r="N25" s="321"/>
      <c r="O25" s="314"/>
      <c r="P25" s="321"/>
      <c r="Q25" s="314"/>
      <c r="R25" s="321">
        <v>102117</v>
      </c>
      <c r="S25" s="314">
        <v>89599</v>
      </c>
      <c r="T25" s="321"/>
      <c r="U25" s="314"/>
      <c r="V25" s="321"/>
      <c r="W25" s="314"/>
      <c r="X25" s="321"/>
      <c r="Y25" s="1088"/>
      <c r="Z25" s="1089"/>
      <c r="AA25" s="1088"/>
      <c r="AB25" s="1089"/>
      <c r="AC25" s="314"/>
      <c r="AD25" s="321"/>
      <c r="AE25" s="1088"/>
      <c r="AF25" s="1089"/>
      <c r="AG25" s="1088"/>
      <c r="AH25" s="1089"/>
      <c r="AI25" s="314"/>
      <c r="AJ25" s="321"/>
      <c r="AK25" s="1088"/>
      <c r="AL25" s="1089"/>
      <c r="AM25" s="1088"/>
      <c r="AN25" s="1089"/>
      <c r="AO25" s="1088"/>
      <c r="AP25" s="1089"/>
      <c r="AQ25" s="1088"/>
      <c r="AR25" s="1089"/>
      <c r="AS25" s="1088"/>
      <c r="AT25" s="1089"/>
      <c r="AU25" s="1088"/>
      <c r="AV25" s="1089">
        <f t="shared" si="0"/>
        <v>102117</v>
      </c>
      <c r="AW25" s="1088">
        <f t="shared" si="0"/>
        <v>89599</v>
      </c>
      <c r="AX25" s="1089"/>
      <c r="AY25" s="1088"/>
      <c r="AZ25" s="1089">
        <f t="shared" si="1"/>
        <v>102117</v>
      </c>
      <c r="BA25" s="314">
        <f t="shared" si="1"/>
        <v>89599</v>
      </c>
    </row>
    <row r="26" spans="1:53" x14ac:dyDescent="0.3">
      <c r="A26" s="1092" t="s">
        <v>327</v>
      </c>
      <c r="B26" s="1090"/>
      <c r="C26" s="1091"/>
      <c r="D26" s="1089"/>
      <c r="E26" s="1088"/>
      <c r="F26" s="1089"/>
      <c r="G26" s="1088"/>
      <c r="H26" s="1089"/>
      <c r="I26" s="1088"/>
      <c r="J26" s="1089"/>
      <c r="K26" s="1088"/>
      <c r="L26" s="1089"/>
      <c r="M26" s="314"/>
      <c r="N26" s="321"/>
      <c r="O26" s="314"/>
      <c r="P26" s="321"/>
      <c r="Q26" s="314"/>
      <c r="R26" s="321">
        <f>986956+574369</f>
        <v>1561325</v>
      </c>
      <c r="S26" s="314">
        <f>1321364+598755</f>
        <v>1920119</v>
      </c>
      <c r="T26" s="321"/>
      <c r="U26" s="314"/>
      <c r="V26" s="321"/>
      <c r="W26" s="314"/>
      <c r="X26" s="321">
        <v>85506903</v>
      </c>
      <c r="Y26" s="1088">
        <v>103223820</v>
      </c>
      <c r="Z26" s="1089">
        <v>1069033</v>
      </c>
      <c r="AA26" s="1088">
        <v>1580714</v>
      </c>
      <c r="AB26" s="1089"/>
      <c r="AC26" s="314"/>
      <c r="AD26" s="321"/>
      <c r="AE26" s="1088"/>
      <c r="AF26" s="1089"/>
      <c r="AG26" s="1088">
        <v>23676522</v>
      </c>
      <c r="AH26" s="1089"/>
      <c r="AI26" s="314"/>
      <c r="AJ26" s="321"/>
      <c r="AK26" s="1088"/>
      <c r="AL26" s="1089"/>
      <c r="AM26" s="1088"/>
      <c r="AN26" s="1089">
        <v>48820076</v>
      </c>
      <c r="AO26" s="1088">
        <v>49527700</v>
      </c>
      <c r="AP26" s="1089"/>
      <c r="AQ26" s="1088"/>
      <c r="AR26" s="1089"/>
      <c r="AS26" s="1088"/>
      <c r="AT26" s="1089"/>
      <c r="AU26" s="1088"/>
      <c r="AV26" s="1089">
        <f t="shared" si="0"/>
        <v>136957337</v>
      </c>
      <c r="AW26" s="1088">
        <f t="shared" si="0"/>
        <v>179928875</v>
      </c>
      <c r="AX26" s="1089"/>
      <c r="AY26" s="1088"/>
      <c r="AZ26" s="1089">
        <f t="shared" si="1"/>
        <v>136957337</v>
      </c>
      <c r="BA26" s="314">
        <f t="shared" si="1"/>
        <v>179928875</v>
      </c>
    </row>
    <row r="27" spans="1:53" x14ac:dyDescent="0.3">
      <c r="A27" s="68" t="s">
        <v>328</v>
      </c>
      <c r="B27" s="1090">
        <v>5986893</v>
      </c>
      <c r="C27" s="1091">
        <v>8146330</v>
      </c>
      <c r="D27" s="1089">
        <v>1021548</v>
      </c>
      <c r="E27" s="1088">
        <v>1130023</v>
      </c>
      <c r="F27" s="1089">
        <v>1437216</v>
      </c>
      <c r="G27" s="1088"/>
      <c r="H27" s="1089">
        <f>9927949+63366</f>
        <v>9991315</v>
      </c>
      <c r="I27" s="1088">
        <f>15848287+87329</f>
        <v>15935616</v>
      </c>
      <c r="J27" s="1089">
        <v>104990</v>
      </c>
      <c r="K27" s="1088">
        <v>159144</v>
      </c>
      <c r="L27" s="1089">
        <v>6428332</v>
      </c>
      <c r="M27" s="314">
        <v>7290692</v>
      </c>
      <c r="N27" s="321"/>
      <c r="O27" s="314"/>
      <c r="P27" s="321">
        <v>934382</v>
      </c>
      <c r="Q27" s="314">
        <v>1546935</v>
      </c>
      <c r="R27" s="321"/>
      <c r="S27" s="314"/>
      <c r="T27" s="321">
        <v>873538</v>
      </c>
      <c r="U27" s="314">
        <v>1322352</v>
      </c>
      <c r="V27" s="321">
        <v>33060927</v>
      </c>
      <c r="W27" s="314">
        <v>36839980</v>
      </c>
      <c r="X27" s="321"/>
      <c r="Y27" s="1088"/>
      <c r="Z27" s="1089"/>
      <c r="AA27" s="1088"/>
      <c r="AB27" s="1089">
        <v>2190657</v>
      </c>
      <c r="AC27" s="314">
        <v>3034404</v>
      </c>
      <c r="AD27" s="321">
        <v>3441757</v>
      </c>
      <c r="AE27" s="1088">
        <v>5197674</v>
      </c>
      <c r="AF27" s="1089"/>
      <c r="AG27" s="1088"/>
      <c r="AH27" s="1089">
        <v>6854228</v>
      </c>
      <c r="AI27" s="314">
        <v>6034693</v>
      </c>
      <c r="AJ27" s="321">
        <v>4165000</v>
      </c>
      <c r="AK27" s="1088">
        <v>4032486</v>
      </c>
      <c r="AL27" s="1089"/>
      <c r="AM27" s="1088"/>
      <c r="AN27" s="1089">
        <v>44503243</v>
      </c>
      <c r="AO27" s="1088">
        <v>66023246</v>
      </c>
      <c r="AP27" s="1089">
        <v>169831</v>
      </c>
      <c r="AQ27" s="1088">
        <v>214700</v>
      </c>
      <c r="AR27" s="1089">
        <v>2895252</v>
      </c>
      <c r="AS27" s="1088">
        <v>1805988</v>
      </c>
      <c r="AT27" s="1089">
        <f>4799022+29534</f>
        <v>4828556</v>
      </c>
      <c r="AU27" s="1088">
        <f>8611804+52286</f>
        <v>8664090</v>
      </c>
      <c r="AV27" s="1089">
        <f t="shared" si="0"/>
        <v>128887665</v>
      </c>
      <c r="AW27" s="1088">
        <f t="shared" si="0"/>
        <v>167378353</v>
      </c>
      <c r="AX27" s="1089"/>
      <c r="AY27" s="1088"/>
      <c r="AZ27" s="1089">
        <f t="shared" si="1"/>
        <v>128887665</v>
      </c>
      <c r="BA27" s="314">
        <f t="shared" si="1"/>
        <v>167378353</v>
      </c>
    </row>
    <row r="28" spans="1:53" x14ac:dyDescent="0.3">
      <c r="A28" s="68" t="s">
        <v>329</v>
      </c>
      <c r="B28" s="1090"/>
      <c r="C28" s="1091"/>
      <c r="D28" s="1089">
        <v>11727</v>
      </c>
      <c r="E28" s="1088">
        <v>9774</v>
      </c>
      <c r="F28" s="1089"/>
      <c r="G28" s="1088"/>
      <c r="H28" s="1089"/>
      <c r="I28" s="1088">
        <v>-1533</v>
      </c>
      <c r="J28" s="1089"/>
      <c r="K28" s="1088"/>
      <c r="L28" s="1089">
        <v>53011</v>
      </c>
      <c r="M28" s="314">
        <v>70780</v>
      </c>
      <c r="N28" s="321"/>
      <c r="O28" s="314"/>
      <c r="P28" s="321"/>
      <c r="Q28" s="314"/>
      <c r="R28" s="321"/>
      <c r="S28" s="314"/>
      <c r="T28" s="321"/>
      <c r="U28" s="314"/>
      <c r="V28" s="321">
        <v>118688</v>
      </c>
      <c r="W28" s="314">
        <v>103653</v>
      </c>
      <c r="X28" s="321"/>
      <c r="Y28" s="1088"/>
      <c r="Z28" s="1089"/>
      <c r="AA28" s="1088"/>
      <c r="AB28" s="1089"/>
      <c r="AC28" s="314"/>
      <c r="AD28" s="321"/>
      <c r="AE28" s="1088"/>
      <c r="AF28" s="1089"/>
      <c r="AG28" s="1088"/>
      <c r="AH28" s="1089"/>
      <c r="AI28" s="314"/>
      <c r="AJ28" s="321"/>
      <c r="AK28" s="1088"/>
      <c r="AL28" s="1089"/>
      <c r="AM28" s="1088"/>
      <c r="AN28" s="1089">
        <v>574151</v>
      </c>
      <c r="AO28" s="1088">
        <v>1020335</v>
      </c>
      <c r="AP28" s="1089"/>
      <c r="AQ28" s="1088"/>
      <c r="AR28" s="1089">
        <v>7795</v>
      </c>
      <c r="AS28" s="1088">
        <v>1465</v>
      </c>
      <c r="AT28" s="1089"/>
      <c r="AU28" s="1088"/>
      <c r="AV28" s="1089">
        <f t="shared" si="0"/>
        <v>765372</v>
      </c>
      <c r="AW28" s="1088">
        <f t="shared" si="0"/>
        <v>1204474</v>
      </c>
      <c r="AX28" s="1089"/>
      <c r="AY28" s="1088"/>
      <c r="AZ28" s="1089">
        <f t="shared" si="1"/>
        <v>765372</v>
      </c>
      <c r="BA28" s="314">
        <f t="shared" si="1"/>
        <v>1204474</v>
      </c>
    </row>
    <row r="29" spans="1:53" x14ac:dyDescent="0.3">
      <c r="A29" s="68" t="s">
        <v>330</v>
      </c>
      <c r="B29" s="1090">
        <v>16393129</v>
      </c>
      <c r="C29" s="1091">
        <v>16087684</v>
      </c>
      <c r="D29" s="1089"/>
      <c r="E29" s="1088"/>
      <c r="F29" s="1089"/>
      <c r="G29" s="1088"/>
      <c r="H29" s="1089"/>
      <c r="I29" s="1088"/>
      <c r="J29" s="1089"/>
      <c r="K29" s="1088"/>
      <c r="L29" s="1089"/>
      <c r="M29" s="314"/>
      <c r="N29" s="321"/>
      <c r="O29" s="314"/>
      <c r="P29" s="321"/>
      <c r="Q29" s="314"/>
      <c r="R29" s="321"/>
      <c r="S29" s="314"/>
      <c r="T29" s="321"/>
      <c r="U29" s="314"/>
      <c r="V29" s="321"/>
      <c r="W29" s="314"/>
      <c r="X29" s="321"/>
      <c r="Y29" s="1088"/>
      <c r="Z29" s="1089"/>
      <c r="AA29" s="1088"/>
      <c r="AB29" s="1089"/>
      <c r="AC29" s="314"/>
      <c r="AD29" s="321"/>
      <c r="AE29" s="1088"/>
      <c r="AF29" s="1089"/>
      <c r="AG29" s="1088"/>
      <c r="AH29" s="1089"/>
      <c r="AI29" s="314"/>
      <c r="AJ29" s="321"/>
      <c r="AK29" s="1088"/>
      <c r="AL29" s="1089"/>
      <c r="AM29" s="1088"/>
      <c r="AN29" s="1089"/>
      <c r="AO29" s="1088"/>
      <c r="AP29" s="1089"/>
      <c r="AQ29" s="1088"/>
      <c r="AR29" s="1089"/>
      <c r="AS29" s="1088"/>
      <c r="AT29" s="1089"/>
      <c r="AU29" s="1088"/>
      <c r="AV29" s="1089">
        <f t="shared" si="0"/>
        <v>16393129</v>
      </c>
      <c r="AW29" s="1088">
        <f t="shared" si="0"/>
        <v>16087684</v>
      </c>
      <c r="AX29" s="1089"/>
      <c r="AY29" s="1088"/>
      <c r="AZ29" s="1089">
        <f t="shared" si="1"/>
        <v>16393129</v>
      </c>
      <c r="BA29" s="314">
        <f t="shared" si="1"/>
        <v>16087684</v>
      </c>
    </row>
    <row r="30" spans="1:53" x14ac:dyDescent="0.3">
      <c r="A30" s="68" t="s">
        <v>331</v>
      </c>
      <c r="B30" s="1090">
        <v>248313281</v>
      </c>
      <c r="C30" s="1091">
        <v>257433914</v>
      </c>
      <c r="D30" s="1089"/>
      <c r="E30" s="1088"/>
      <c r="F30" s="1089"/>
      <c r="G30" s="1088"/>
      <c r="H30" s="1089"/>
      <c r="I30" s="1088"/>
      <c r="J30" s="1089"/>
      <c r="K30" s="1088"/>
      <c r="L30" s="1089"/>
      <c r="M30" s="314"/>
      <c r="N30" s="321"/>
      <c r="O30" s="314"/>
      <c r="P30" s="321"/>
      <c r="Q30" s="314"/>
      <c r="R30" s="321"/>
      <c r="S30" s="314"/>
      <c r="T30" s="321"/>
      <c r="U30" s="314"/>
      <c r="V30" s="321"/>
      <c r="W30" s="314"/>
      <c r="X30" s="321"/>
      <c r="Y30" s="1088"/>
      <c r="Z30" s="1089"/>
      <c r="AA30" s="1088"/>
      <c r="AB30" s="1089"/>
      <c r="AC30" s="314"/>
      <c r="AD30" s="321"/>
      <c r="AE30" s="1088"/>
      <c r="AF30" s="1089"/>
      <c r="AG30" s="1088"/>
      <c r="AH30" s="1089"/>
      <c r="AI30" s="314"/>
      <c r="AJ30" s="321"/>
      <c r="AK30" s="1088"/>
      <c r="AL30" s="1089"/>
      <c r="AM30" s="1088"/>
      <c r="AN30" s="1089"/>
      <c r="AO30" s="1088"/>
      <c r="AP30" s="1089"/>
      <c r="AQ30" s="1088"/>
      <c r="AR30" s="1089"/>
      <c r="AS30" s="1088"/>
      <c r="AT30" s="1089"/>
      <c r="AU30" s="1088"/>
      <c r="AV30" s="1089">
        <f t="shared" si="0"/>
        <v>248313281</v>
      </c>
      <c r="AW30" s="1088">
        <f t="shared" si="0"/>
        <v>257433914</v>
      </c>
      <c r="AX30" s="1089"/>
      <c r="AY30" s="1088"/>
      <c r="AZ30" s="1089">
        <f t="shared" si="1"/>
        <v>248313281</v>
      </c>
      <c r="BA30" s="314">
        <f t="shared" si="1"/>
        <v>257433914</v>
      </c>
    </row>
    <row r="31" spans="1:53" x14ac:dyDescent="0.3">
      <c r="A31" s="1092" t="s">
        <v>332</v>
      </c>
      <c r="B31" s="1090"/>
      <c r="C31" s="1091"/>
      <c r="D31" s="1089"/>
      <c r="E31" s="1088"/>
      <c r="F31" s="1089">
        <v>770191</v>
      </c>
      <c r="G31" s="1088"/>
      <c r="H31" s="1089">
        <v>9759483</v>
      </c>
      <c r="I31" s="1088">
        <v>10914315</v>
      </c>
      <c r="J31" s="1089">
        <v>1177120</v>
      </c>
      <c r="K31" s="1088">
        <v>1337760</v>
      </c>
      <c r="L31" s="1089">
        <v>2106021</v>
      </c>
      <c r="M31" s="314">
        <v>2490204</v>
      </c>
      <c r="N31" s="321"/>
      <c r="O31" s="314">
        <v>69484</v>
      </c>
      <c r="P31" s="321">
        <v>41480</v>
      </c>
      <c r="Q31" s="314">
        <v>51523</v>
      </c>
      <c r="R31" s="321">
        <f>1415034+150473</f>
        <v>1565507</v>
      </c>
      <c r="S31" s="314">
        <f>3410880+218867</f>
        <v>3629747</v>
      </c>
      <c r="T31" s="321">
        <v>1046956</v>
      </c>
      <c r="U31" s="314">
        <v>2227255</v>
      </c>
      <c r="V31" s="321">
        <v>11217906</v>
      </c>
      <c r="W31" s="314">
        <v>7087393</v>
      </c>
      <c r="X31" s="321">
        <v>11678041</v>
      </c>
      <c r="Y31" s="1088">
        <v>13037020</v>
      </c>
      <c r="Z31" s="1089">
        <v>903338</v>
      </c>
      <c r="AA31" s="1088">
        <v>1503210</v>
      </c>
      <c r="AB31" s="1089">
        <v>936489</v>
      </c>
      <c r="AC31" s="314">
        <v>1024522</v>
      </c>
      <c r="AD31" s="321">
        <v>2761691</v>
      </c>
      <c r="AE31" s="1088">
        <v>2501687</v>
      </c>
      <c r="AF31" s="1089"/>
      <c r="AG31" s="1088"/>
      <c r="AH31" s="1089">
        <v>4075306</v>
      </c>
      <c r="AI31" s="314">
        <v>5511717</v>
      </c>
      <c r="AJ31" s="321">
        <v>3561969</v>
      </c>
      <c r="AK31" s="1088">
        <v>2978228</v>
      </c>
      <c r="AL31" s="1089"/>
      <c r="AM31" s="1088"/>
      <c r="AN31" s="1089">
        <v>6375782</v>
      </c>
      <c r="AO31" s="1088">
        <v>13210115</v>
      </c>
      <c r="AP31" s="1089">
        <v>298403</v>
      </c>
      <c r="AQ31" s="1088">
        <v>677557</v>
      </c>
      <c r="AR31" s="1089">
        <v>1990443</v>
      </c>
      <c r="AS31" s="1088">
        <v>2330528</v>
      </c>
      <c r="AT31" s="1089">
        <v>759195</v>
      </c>
      <c r="AU31" s="1088">
        <v>6394075</v>
      </c>
      <c r="AV31" s="1089">
        <f t="shared" si="0"/>
        <v>61025321</v>
      </c>
      <c r="AW31" s="1088">
        <f t="shared" si="0"/>
        <v>76976340</v>
      </c>
      <c r="AX31" s="1089"/>
      <c r="AY31" s="1088"/>
      <c r="AZ31" s="1089">
        <f t="shared" si="1"/>
        <v>61025321</v>
      </c>
      <c r="BA31" s="314">
        <f t="shared" si="1"/>
        <v>76976340</v>
      </c>
    </row>
    <row r="32" spans="1:53" x14ac:dyDescent="0.3">
      <c r="A32" s="68" t="s">
        <v>319</v>
      </c>
      <c r="B32" s="1090">
        <v>97402</v>
      </c>
      <c r="C32" s="1091">
        <v>119663</v>
      </c>
      <c r="D32" s="1089"/>
      <c r="E32" s="1088"/>
      <c r="F32" s="1089"/>
      <c r="G32" s="1088"/>
      <c r="H32" s="1089"/>
      <c r="I32" s="1088"/>
      <c r="J32" s="1089"/>
      <c r="K32" s="1088"/>
      <c r="L32" s="1089"/>
      <c r="M32" s="314"/>
      <c r="N32" s="321"/>
      <c r="O32" s="314"/>
      <c r="P32" s="321"/>
      <c r="Q32" s="314"/>
      <c r="R32" s="321"/>
      <c r="S32" s="314"/>
      <c r="T32" s="321"/>
      <c r="U32" s="314"/>
      <c r="V32" s="321"/>
      <c r="W32" s="314"/>
      <c r="X32" s="321"/>
      <c r="Y32" s="1088"/>
      <c r="Z32" s="1089"/>
      <c r="AA32" s="1088"/>
      <c r="AB32" s="1089"/>
      <c r="AC32" s="314"/>
      <c r="AD32" s="321"/>
      <c r="AE32" s="1088"/>
      <c r="AF32" s="1089"/>
      <c r="AG32" s="1088"/>
      <c r="AH32" s="1089"/>
      <c r="AI32" s="314"/>
      <c r="AJ32" s="321"/>
      <c r="AK32" s="1088"/>
      <c r="AL32" s="1089"/>
      <c r="AM32" s="1088"/>
      <c r="AN32" s="1089"/>
      <c r="AO32" s="1088"/>
      <c r="AP32" s="1089"/>
      <c r="AQ32" s="1088"/>
      <c r="AR32" s="1089"/>
      <c r="AS32" s="1088"/>
      <c r="AT32" s="1089"/>
      <c r="AU32" s="1088"/>
      <c r="AV32" s="1089">
        <f t="shared" si="0"/>
        <v>97402</v>
      </c>
      <c r="AW32" s="1088">
        <f t="shared" si="0"/>
        <v>119663</v>
      </c>
      <c r="AX32" s="1089"/>
      <c r="AY32" s="1088"/>
      <c r="AZ32" s="1089">
        <f t="shared" si="1"/>
        <v>97402</v>
      </c>
      <c r="BA32" s="314">
        <f t="shared" si="1"/>
        <v>119663</v>
      </c>
    </row>
    <row r="33" spans="1:53" x14ac:dyDescent="0.3">
      <c r="A33" s="68" t="s">
        <v>320</v>
      </c>
      <c r="B33" s="1090"/>
      <c r="C33" s="1091"/>
      <c r="D33" s="1089">
        <v>1454237</v>
      </c>
      <c r="E33" s="1088">
        <v>1689369</v>
      </c>
      <c r="F33" s="1089"/>
      <c r="G33" s="1088"/>
      <c r="H33" s="1089"/>
      <c r="I33" s="1088"/>
      <c r="J33" s="1089"/>
      <c r="K33" s="1088"/>
      <c r="L33" s="1089"/>
      <c r="M33" s="314"/>
      <c r="N33" s="321"/>
      <c r="O33" s="314"/>
      <c r="P33" s="321"/>
      <c r="Q33" s="314"/>
      <c r="R33" s="321"/>
      <c r="S33" s="314"/>
      <c r="T33" s="321"/>
      <c r="U33" s="314"/>
      <c r="V33" s="321"/>
      <c r="W33" s="314"/>
      <c r="X33" s="321"/>
      <c r="Y33" s="1088"/>
      <c r="Z33" s="1089"/>
      <c r="AA33" s="1088"/>
      <c r="AB33" s="1089"/>
      <c r="AC33" s="314"/>
      <c r="AD33" s="321"/>
      <c r="AE33" s="1088"/>
      <c r="AF33" s="1089"/>
      <c r="AG33" s="1088">
        <v>-3538111</v>
      </c>
      <c r="AH33" s="1089"/>
      <c r="AI33" s="314"/>
      <c r="AJ33" s="321"/>
      <c r="AK33" s="1088"/>
      <c r="AL33" s="1089"/>
      <c r="AM33" s="1088"/>
      <c r="AN33" s="1089"/>
      <c r="AO33" s="1088"/>
      <c r="AP33" s="1089"/>
      <c r="AQ33" s="1088"/>
      <c r="AR33" s="1089"/>
      <c r="AS33" s="1088"/>
      <c r="AT33" s="1089"/>
      <c r="AU33" s="1088"/>
      <c r="AV33" s="1089">
        <f t="shared" si="0"/>
        <v>1454237</v>
      </c>
      <c r="AW33" s="1088">
        <f t="shared" si="0"/>
        <v>-1848742</v>
      </c>
      <c r="AX33" s="1089"/>
      <c r="AY33" s="1088"/>
      <c r="AZ33" s="1089">
        <f t="shared" si="1"/>
        <v>1454237</v>
      </c>
      <c r="BA33" s="314">
        <f t="shared" si="1"/>
        <v>-1848742</v>
      </c>
    </row>
    <row r="34" spans="1:53" x14ac:dyDescent="0.3">
      <c r="A34" s="68" t="s">
        <v>75</v>
      </c>
      <c r="B34" s="1090"/>
      <c r="C34" s="1091"/>
      <c r="D34" s="1089"/>
      <c r="E34" s="1088"/>
      <c r="F34" s="1089"/>
      <c r="G34" s="1088"/>
      <c r="H34" s="1089"/>
      <c r="I34" s="1088"/>
      <c r="J34" s="1089"/>
      <c r="K34" s="1088"/>
      <c r="L34" s="1089"/>
      <c r="M34" s="314"/>
      <c r="N34" s="321"/>
      <c r="O34" s="314"/>
      <c r="P34" s="321">
        <v>3129</v>
      </c>
      <c r="Q34" s="314">
        <v>37742</v>
      </c>
      <c r="R34" s="321"/>
      <c r="S34" s="314"/>
      <c r="T34" s="321"/>
      <c r="U34" s="314"/>
      <c r="V34" s="321"/>
      <c r="W34" s="314"/>
      <c r="X34" s="321"/>
      <c r="Y34" s="1088"/>
      <c r="Z34" s="1089"/>
      <c r="AA34" s="1088"/>
      <c r="AB34" s="1089"/>
      <c r="AC34" s="314"/>
      <c r="AD34" s="321"/>
      <c r="AE34" s="1088"/>
      <c r="AF34" s="1089"/>
      <c r="AG34" s="1088"/>
      <c r="AH34" s="1089"/>
      <c r="AI34" s="314"/>
      <c r="AJ34" s="321">
        <v>88423</v>
      </c>
      <c r="AK34" s="1088"/>
      <c r="AL34" s="1089"/>
      <c r="AM34" s="1088"/>
      <c r="AN34" s="1089"/>
      <c r="AO34" s="1088"/>
      <c r="AP34" s="1089"/>
      <c r="AQ34" s="1088"/>
      <c r="AR34" s="1089"/>
      <c r="AS34" s="1088">
        <v>251682</v>
      </c>
      <c r="AT34" s="1089"/>
      <c r="AU34" s="1088"/>
      <c r="AV34" s="1089">
        <f t="shared" si="0"/>
        <v>91552</v>
      </c>
      <c r="AW34" s="1088">
        <f t="shared" si="0"/>
        <v>289424</v>
      </c>
      <c r="AX34" s="1089"/>
      <c r="AY34" s="1088"/>
      <c r="AZ34" s="1089">
        <f t="shared" si="1"/>
        <v>91552</v>
      </c>
      <c r="BA34" s="314">
        <f t="shared" si="1"/>
        <v>289424</v>
      </c>
    </row>
    <row r="35" spans="1:53" s="1101" customFormat="1" ht="18" x14ac:dyDescent="0.35">
      <c r="A35" s="1092" t="s">
        <v>333</v>
      </c>
      <c r="B35" s="1093">
        <v>421182207</v>
      </c>
      <c r="C35" s="1094">
        <v>476165101</v>
      </c>
      <c r="D35" s="1097">
        <v>46454537</v>
      </c>
      <c r="E35" s="1100">
        <v>51241500</v>
      </c>
      <c r="F35" s="1097">
        <v>108748753</v>
      </c>
      <c r="G35" s="1100"/>
      <c r="H35" s="1097">
        <v>594307302</v>
      </c>
      <c r="I35" s="1100">
        <v>654315492</v>
      </c>
      <c r="J35" s="1097">
        <v>91338887</v>
      </c>
      <c r="K35" s="1100">
        <v>91338887</v>
      </c>
      <c r="L35" s="1097">
        <v>159479019</v>
      </c>
      <c r="M35" s="1098">
        <v>184063.35</v>
      </c>
      <c r="N35" s="1099">
        <v>50932753</v>
      </c>
      <c r="O35" s="1098">
        <v>56100370</v>
      </c>
      <c r="P35" s="1099">
        <v>44226593</v>
      </c>
      <c r="Q35" s="1098">
        <v>52758577</v>
      </c>
      <c r="R35" s="1099">
        <v>160649340</v>
      </c>
      <c r="S35" s="1098">
        <v>177622142</v>
      </c>
      <c r="T35" s="1099">
        <v>58372712</v>
      </c>
      <c r="U35" s="1098">
        <v>65113303</v>
      </c>
      <c r="V35" s="1099">
        <v>1310529609</v>
      </c>
      <c r="W35" s="1098">
        <v>1550850984</v>
      </c>
      <c r="X35" s="1099">
        <v>1650902755</v>
      </c>
      <c r="Y35" s="1100">
        <v>1808908447</v>
      </c>
      <c r="Z35" s="1097">
        <v>97421560</v>
      </c>
      <c r="AA35" s="1100">
        <v>109705423</v>
      </c>
      <c r="AB35" s="1097">
        <v>152365366</v>
      </c>
      <c r="AC35" s="1098">
        <v>150841594</v>
      </c>
      <c r="AD35" s="1099">
        <v>330618128</v>
      </c>
      <c r="AE35" s="1100">
        <v>389697030</v>
      </c>
      <c r="AF35" s="1097"/>
      <c r="AG35" s="1100">
        <v>788671226</v>
      </c>
      <c r="AH35" s="1097">
        <v>226077119</v>
      </c>
      <c r="AI35" s="1098">
        <v>257574620</v>
      </c>
      <c r="AJ35" s="1099">
        <v>212611961</v>
      </c>
      <c r="AK35" s="1100">
        <v>225230490</v>
      </c>
      <c r="AL35" s="1097"/>
      <c r="AM35" s="1100"/>
      <c r="AN35" s="1097">
        <v>1570512666</v>
      </c>
      <c r="AO35" s="1100">
        <v>1882466150</v>
      </c>
      <c r="AP35" s="1097">
        <v>47327673</v>
      </c>
      <c r="AQ35" s="1100">
        <v>57152759</v>
      </c>
      <c r="AR35" s="1097">
        <v>90816276</v>
      </c>
      <c r="AS35" s="1100">
        <v>105228234</v>
      </c>
      <c r="AT35" s="1097">
        <v>312040114</v>
      </c>
      <c r="AU35" s="1100">
        <v>380939336</v>
      </c>
      <c r="AV35" s="1097">
        <f t="shared" si="0"/>
        <v>7736915330</v>
      </c>
      <c r="AW35" s="1100">
        <f t="shared" si="0"/>
        <v>9332105728.3500004</v>
      </c>
      <c r="AX35" s="1097"/>
      <c r="AY35" s="1100"/>
      <c r="AZ35" s="1097">
        <f t="shared" si="1"/>
        <v>7736915330</v>
      </c>
      <c r="BA35" s="1098">
        <f t="shared" si="1"/>
        <v>9332105728.3500004</v>
      </c>
    </row>
    <row r="36" spans="1:53" x14ac:dyDescent="0.3">
      <c r="A36" s="1092" t="s">
        <v>334</v>
      </c>
      <c r="B36" s="1090"/>
      <c r="C36" s="1091"/>
      <c r="D36" s="1089"/>
      <c r="E36" s="1088"/>
      <c r="F36" s="1089"/>
      <c r="G36" s="1088"/>
      <c r="H36" s="1089"/>
      <c r="I36" s="1088"/>
      <c r="J36" s="1089"/>
      <c r="K36" s="1088"/>
      <c r="L36" s="1089"/>
      <c r="M36" s="314"/>
      <c r="N36" s="321"/>
      <c r="O36" s="314"/>
      <c r="P36" s="321"/>
      <c r="Q36" s="314"/>
      <c r="R36" s="321"/>
      <c r="S36" s="314"/>
      <c r="T36" s="321"/>
      <c r="U36" s="314"/>
      <c r="V36" s="321"/>
      <c r="W36" s="314"/>
      <c r="X36" s="321"/>
      <c r="Y36" s="1088"/>
      <c r="Z36" s="1089"/>
      <c r="AA36" s="1088"/>
      <c r="AB36" s="1089"/>
      <c r="AC36" s="314"/>
      <c r="AD36" s="321"/>
      <c r="AE36" s="1088"/>
      <c r="AF36" s="1089"/>
      <c r="AG36" s="1088"/>
      <c r="AH36" s="1089"/>
      <c r="AI36" s="314"/>
      <c r="AJ36" s="321"/>
      <c r="AK36" s="1088"/>
      <c r="AL36" s="1089"/>
      <c r="AM36" s="1088"/>
      <c r="AN36" s="1089"/>
      <c r="AO36" s="1088"/>
      <c r="AP36" s="1089"/>
      <c r="AQ36" s="1088"/>
      <c r="AR36" s="1089"/>
      <c r="AS36" s="1088"/>
      <c r="AT36" s="1089"/>
      <c r="AU36" s="1088"/>
      <c r="AV36" s="1089">
        <f t="shared" si="0"/>
        <v>0</v>
      </c>
      <c r="AW36" s="1088">
        <f t="shared" si="0"/>
        <v>0</v>
      </c>
      <c r="AX36" s="1089"/>
      <c r="AY36" s="1088"/>
      <c r="AZ36" s="1089">
        <f t="shared" si="1"/>
        <v>0</v>
      </c>
      <c r="BA36" s="314">
        <f t="shared" si="1"/>
        <v>0</v>
      </c>
    </row>
    <row r="37" spans="1:53" x14ac:dyDescent="0.3">
      <c r="A37" s="1092" t="s">
        <v>335</v>
      </c>
      <c r="B37" s="1090"/>
      <c r="C37" s="1091"/>
      <c r="D37" s="1089"/>
      <c r="E37" s="1088"/>
      <c r="F37" s="1089"/>
      <c r="G37" s="1088"/>
      <c r="H37" s="1089"/>
      <c r="I37" s="1088"/>
      <c r="J37" s="1089"/>
      <c r="K37" s="1088"/>
      <c r="L37" s="1089"/>
      <c r="M37" s="314"/>
      <c r="N37" s="321"/>
      <c r="O37" s="314"/>
      <c r="P37" s="321"/>
      <c r="Q37" s="314"/>
      <c r="R37" s="321"/>
      <c r="S37" s="314"/>
      <c r="T37" s="321"/>
      <c r="U37" s="314"/>
      <c r="V37" s="321"/>
      <c r="W37" s="314"/>
      <c r="X37" s="321"/>
      <c r="Y37" s="1088"/>
      <c r="Z37" s="1089"/>
      <c r="AA37" s="1088"/>
      <c r="AB37" s="1089"/>
      <c r="AC37" s="314"/>
      <c r="AD37" s="321"/>
      <c r="AE37" s="1088"/>
      <c r="AF37" s="1089"/>
      <c r="AG37" s="1088"/>
      <c r="AH37" s="1089"/>
      <c r="AI37" s="314"/>
      <c r="AJ37" s="321"/>
      <c r="AK37" s="1088"/>
      <c r="AL37" s="1089"/>
      <c r="AM37" s="1088"/>
      <c r="AN37" s="1089"/>
      <c r="AO37" s="1088"/>
      <c r="AP37" s="1089"/>
      <c r="AQ37" s="1088"/>
      <c r="AR37" s="1089"/>
      <c r="AS37" s="1088"/>
      <c r="AT37" s="1089"/>
      <c r="AU37" s="1088"/>
      <c r="AV37" s="1089">
        <f t="shared" si="0"/>
        <v>0</v>
      </c>
      <c r="AW37" s="1088">
        <f t="shared" si="0"/>
        <v>0</v>
      </c>
      <c r="AX37" s="1089"/>
      <c r="AY37" s="1088"/>
      <c r="AZ37" s="1089">
        <f t="shared" si="1"/>
        <v>0</v>
      </c>
      <c r="BA37" s="314">
        <f t="shared" si="1"/>
        <v>0</v>
      </c>
    </row>
    <row r="38" spans="1:53" x14ac:dyDescent="0.3">
      <c r="A38" s="68" t="s">
        <v>336</v>
      </c>
      <c r="B38" s="1090">
        <v>21670138</v>
      </c>
      <c r="C38" s="1091">
        <v>22928611</v>
      </c>
      <c r="D38" s="1089">
        <v>1233727</v>
      </c>
      <c r="E38" s="1088">
        <v>1497622</v>
      </c>
      <c r="F38" s="1089">
        <v>6755839</v>
      </c>
      <c r="G38" s="1088"/>
      <c r="H38" s="1089">
        <v>88019100</v>
      </c>
      <c r="I38" s="1088">
        <v>93567106</v>
      </c>
      <c r="J38" s="1089">
        <v>3564112</v>
      </c>
      <c r="K38" s="1088">
        <v>3991272</v>
      </c>
      <c r="L38" s="1089">
        <v>10808046</v>
      </c>
      <c r="M38" s="314">
        <v>11255221</v>
      </c>
      <c r="N38" s="321">
        <v>8078135</v>
      </c>
      <c r="O38" s="314">
        <v>8384942</v>
      </c>
      <c r="P38" s="321">
        <v>5814702</v>
      </c>
      <c r="Q38" s="314">
        <v>2979357</v>
      </c>
      <c r="R38" s="321">
        <v>10397255</v>
      </c>
      <c r="S38" s="314">
        <v>11289105</v>
      </c>
      <c r="T38" s="321">
        <v>2398060</v>
      </c>
      <c r="U38" s="314">
        <v>2572065</v>
      </c>
      <c r="V38" s="321">
        <v>53034962</v>
      </c>
      <c r="W38" s="314">
        <v>74399889</v>
      </c>
      <c r="X38" s="321">
        <v>74102485</v>
      </c>
      <c r="Y38" s="1088">
        <v>81464009</v>
      </c>
      <c r="Z38" s="1089">
        <v>6331667</v>
      </c>
      <c r="AA38" s="1088">
        <v>7245354</v>
      </c>
      <c r="AB38" s="1089">
        <v>6499876</v>
      </c>
      <c r="AC38" s="314">
        <v>6584781</v>
      </c>
      <c r="AD38" s="321">
        <v>27637114</v>
      </c>
      <c r="AE38" s="1088">
        <v>33845483</v>
      </c>
      <c r="AF38" s="1089"/>
      <c r="AG38" s="1088">
        <v>34487481</v>
      </c>
      <c r="AH38" s="1089">
        <v>12191621</v>
      </c>
      <c r="AI38" s="314">
        <v>13239264</v>
      </c>
      <c r="AJ38" s="321">
        <v>12312446</v>
      </c>
      <c r="AK38" s="1088">
        <v>11788182</v>
      </c>
      <c r="AL38" s="1089"/>
      <c r="AM38" s="1088"/>
      <c r="AN38" s="1089">
        <v>69089835</v>
      </c>
      <c r="AO38" s="1088">
        <v>83426476</v>
      </c>
      <c r="AP38" s="1089">
        <v>5628155</v>
      </c>
      <c r="AQ38" s="1088">
        <v>5872910</v>
      </c>
      <c r="AR38" s="1089">
        <v>5089284</v>
      </c>
      <c r="AS38" s="1088">
        <v>5921027</v>
      </c>
      <c r="AT38" s="1089">
        <v>18282813</v>
      </c>
      <c r="AU38" s="1088">
        <v>20698778</v>
      </c>
      <c r="AV38" s="1089">
        <f t="shared" si="0"/>
        <v>448939372</v>
      </c>
      <c r="AW38" s="1088">
        <f t="shared" si="0"/>
        <v>537438935</v>
      </c>
      <c r="AX38" s="1089"/>
      <c r="AY38" s="1088"/>
      <c r="AZ38" s="1089">
        <f t="shared" si="1"/>
        <v>448939372</v>
      </c>
      <c r="BA38" s="314">
        <f t="shared" si="1"/>
        <v>537438935</v>
      </c>
    </row>
    <row r="39" spans="1:53" x14ac:dyDescent="0.3">
      <c r="A39" s="68" t="s">
        <v>337</v>
      </c>
      <c r="B39" s="1090">
        <v>143891313</v>
      </c>
      <c r="C39" s="1091">
        <v>188604774</v>
      </c>
      <c r="D39" s="1089">
        <v>15249151</v>
      </c>
      <c r="E39" s="1088">
        <v>18397639</v>
      </c>
      <c r="F39" s="1089">
        <v>52093527</v>
      </c>
      <c r="G39" s="1088"/>
      <c r="H39" s="1089">
        <v>263922209</v>
      </c>
      <c r="I39" s="1088">
        <v>306339788</v>
      </c>
      <c r="J39" s="1089">
        <v>49938067</v>
      </c>
      <c r="K39" s="1088">
        <v>64200736</v>
      </c>
      <c r="L39" s="1089">
        <v>52757957</v>
      </c>
      <c r="M39" s="314">
        <v>73190148</v>
      </c>
      <c r="N39" s="321">
        <v>35090641</v>
      </c>
      <c r="O39" s="314">
        <v>40702170</v>
      </c>
      <c r="P39" s="321">
        <v>16687196</v>
      </c>
      <c r="Q39" s="314">
        <v>21983088</v>
      </c>
      <c r="R39" s="321">
        <v>11500579</v>
      </c>
      <c r="S39" s="314">
        <v>133295937</v>
      </c>
      <c r="T39" s="321">
        <v>31145115</v>
      </c>
      <c r="U39" s="314">
        <v>35906550</v>
      </c>
      <c r="V39" s="321">
        <v>626437106</v>
      </c>
      <c r="W39" s="314">
        <v>779299327</v>
      </c>
      <c r="X39" s="321">
        <v>439551221</v>
      </c>
      <c r="Y39" s="1088">
        <v>542204945</v>
      </c>
      <c r="Z39" s="1089">
        <v>58251021</v>
      </c>
      <c r="AA39" s="1088">
        <v>67650141</v>
      </c>
      <c r="AB39" s="1089">
        <v>96632942</v>
      </c>
      <c r="AC39" s="314">
        <v>92404679</v>
      </c>
      <c r="AD39" s="321">
        <v>157700912</v>
      </c>
      <c r="AE39" s="1088">
        <v>201100368</v>
      </c>
      <c r="AF39" s="1089"/>
      <c r="AG39" s="1088">
        <v>513346464</v>
      </c>
      <c r="AH39" s="1089">
        <v>141384287</v>
      </c>
      <c r="AI39" s="314">
        <v>176019318</v>
      </c>
      <c r="AJ39" s="321">
        <v>136606763</v>
      </c>
      <c r="AK39" s="1088">
        <v>156546431</v>
      </c>
      <c r="AL39" s="1089"/>
      <c r="AM39" s="1088"/>
      <c r="AN39" s="1089">
        <v>691901461</v>
      </c>
      <c r="AO39" s="1088">
        <v>825197497</v>
      </c>
      <c r="AP39" s="1089">
        <v>34575992</v>
      </c>
      <c r="AQ39" s="1088">
        <v>43942607</v>
      </c>
      <c r="AR39" s="1089">
        <v>56668686</v>
      </c>
      <c r="AS39" s="1088">
        <v>73504761</v>
      </c>
      <c r="AT39" s="1089">
        <v>177820023</v>
      </c>
      <c r="AU39" s="1088">
        <v>228856278</v>
      </c>
      <c r="AV39" s="1089">
        <f t="shared" si="0"/>
        <v>3289806169</v>
      </c>
      <c r="AW39" s="1088">
        <f t="shared" si="0"/>
        <v>4582693646</v>
      </c>
      <c r="AX39" s="1089"/>
      <c r="AY39" s="1088"/>
      <c r="AZ39" s="1089">
        <f t="shared" si="1"/>
        <v>3289806169</v>
      </c>
      <c r="BA39" s="314">
        <f t="shared" si="1"/>
        <v>4582693646</v>
      </c>
    </row>
    <row r="40" spans="1:53" x14ac:dyDescent="0.3">
      <c r="A40" s="68" t="s">
        <v>338</v>
      </c>
      <c r="B40" s="1090">
        <v>248313281</v>
      </c>
      <c r="C40" s="1091">
        <v>257433914</v>
      </c>
      <c r="D40" s="1089">
        <v>9228650</v>
      </c>
      <c r="E40" s="1088">
        <v>9199634</v>
      </c>
      <c r="F40" s="1089">
        <v>36102221</v>
      </c>
      <c r="G40" s="1088"/>
      <c r="H40" s="1089">
        <v>225678066</v>
      </c>
      <c r="I40" s="1088">
        <v>239176951</v>
      </c>
      <c r="J40" s="1089">
        <v>10542608</v>
      </c>
      <c r="K40" s="1088">
        <v>11678015</v>
      </c>
      <c r="L40" s="1089">
        <v>94378986</v>
      </c>
      <c r="M40" s="314">
        <v>95153158</v>
      </c>
      <c r="N40" s="321">
        <v>3647193</v>
      </c>
      <c r="O40" s="314">
        <v>3626535</v>
      </c>
      <c r="P40" s="321">
        <v>7326608</v>
      </c>
      <c r="Q40" s="314">
        <v>10101783</v>
      </c>
      <c r="R40" s="321">
        <v>19569692</v>
      </c>
      <c r="S40" s="314">
        <v>18962269</v>
      </c>
      <c r="T40" s="321">
        <v>6079303</v>
      </c>
      <c r="U40" s="314">
        <v>6410570</v>
      </c>
      <c r="V40" s="321">
        <v>630643218</v>
      </c>
      <c r="W40" s="314">
        <v>652520951</v>
      </c>
      <c r="X40" s="321">
        <v>1124820448</v>
      </c>
      <c r="Y40" s="1088">
        <v>1173942696</v>
      </c>
      <c r="Z40" s="1089">
        <v>28137133</v>
      </c>
      <c r="AA40" s="1088">
        <v>29207073</v>
      </c>
      <c r="AB40" s="1089">
        <v>44200035</v>
      </c>
      <c r="AC40" s="314">
        <v>47226179</v>
      </c>
      <c r="AD40" s="321">
        <v>144936849</v>
      </c>
      <c r="AE40" s="1088">
        <v>157759177</v>
      </c>
      <c r="AF40" s="1089"/>
      <c r="AG40" s="1088">
        <v>229803401</v>
      </c>
      <c r="AH40" s="1089">
        <v>62695413</v>
      </c>
      <c r="AI40" s="314">
        <v>59437057</v>
      </c>
      <c r="AJ40" s="321">
        <v>57686312</v>
      </c>
      <c r="AK40" s="1088">
        <v>50788593</v>
      </c>
      <c r="AL40" s="1089"/>
      <c r="AM40" s="1088"/>
      <c r="AN40" s="1089">
        <v>769319815</v>
      </c>
      <c r="AO40" s="1088">
        <v>934756970</v>
      </c>
      <c r="AP40" s="1089">
        <v>5123311</v>
      </c>
      <c r="AQ40" s="1088">
        <v>4880977</v>
      </c>
      <c r="AR40" s="1089">
        <v>25783598</v>
      </c>
      <c r="AS40" s="1088">
        <v>22959131</v>
      </c>
      <c r="AT40" s="1089">
        <v>107937990</v>
      </c>
      <c r="AU40" s="1088">
        <v>124536208</v>
      </c>
      <c r="AV40" s="1089">
        <f t="shared" si="0"/>
        <v>3662150730</v>
      </c>
      <c r="AW40" s="1088">
        <f t="shared" si="0"/>
        <v>4139561242</v>
      </c>
      <c r="AX40" s="1089"/>
      <c r="AY40" s="1088"/>
      <c r="AZ40" s="1089">
        <f t="shared" si="1"/>
        <v>3662150730</v>
      </c>
      <c r="BA40" s="314">
        <f t="shared" si="1"/>
        <v>4139561242</v>
      </c>
    </row>
    <row r="41" spans="1:53" x14ac:dyDescent="0.3">
      <c r="A41" s="68" t="s">
        <v>339</v>
      </c>
      <c r="B41" s="1090">
        <v>1423559</v>
      </c>
      <c r="C41" s="1091">
        <v>1864875</v>
      </c>
      <c r="D41" s="1089">
        <v>671437</v>
      </c>
      <c r="E41" s="1088">
        <v>696737</v>
      </c>
      <c r="F41" s="1089"/>
      <c r="G41" s="1088"/>
      <c r="H41" s="1089">
        <v>3658227</v>
      </c>
      <c r="I41" s="1088">
        <v>4446173</v>
      </c>
      <c r="J41" s="1089">
        <v>144230</v>
      </c>
      <c r="K41" s="1088">
        <v>211735</v>
      </c>
      <c r="L41" s="1089">
        <v>6684</v>
      </c>
      <c r="M41" s="314">
        <v>18080</v>
      </c>
      <c r="N41" s="321">
        <v>260670</v>
      </c>
      <c r="O41" s="314">
        <v>485247</v>
      </c>
      <c r="P41" s="321">
        <v>71148</v>
      </c>
      <c r="Q41" s="314">
        <v>125287</v>
      </c>
      <c r="R41" s="321">
        <v>4127622</v>
      </c>
      <c r="S41" s="314">
        <v>4909116</v>
      </c>
      <c r="T41" s="321">
        <v>127129</v>
      </c>
      <c r="U41" s="314">
        <v>206821</v>
      </c>
      <c r="V41" s="321">
        <v>1916179</v>
      </c>
      <c r="W41" s="314">
        <v>3246558</v>
      </c>
      <c r="X41" s="321">
        <v>3633299</v>
      </c>
      <c r="Y41" s="1088">
        <v>5403756</v>
      </c>
      <c r="Z41" s="1089">
        <v>56232</v>
      </c>
      <c r="AA41" s="1088">
        <v>78947</v>
      </c>
      <c r="AB41" s="1089">
        <v>78816</v>
      </c>
      <c r="AC41" s="314">
        <v>107601</v>
      </c>
      <c r="AD41" s="321">
        <v>939138</v>
      </c>
      <c r="AE41" s="1088">
        <v>939670</v>
      </c>
      <c r="AF41" s="1089"/>
      <c r="AG41" s="1088">
        <v>4742433</v>
      </c>
      <c r="AH41" s="1089">
        <v>527196</v>
      </c>
      <c r="AI41" s="314">
        <v>659975</v>
      </c>
      <c r="AJ41" s="321">
        <v>416980</v>
      </c>
      <c r="AK41" s="1088">
        <v>551058</v>
      </c>
      <c r="AL41" s="1089"/>
      <c r="AM41" s="1088"/>
      <c r="AN41" s="1089">
        <v>3669003</v>
      </c>
      <c r="AO41" s="1088">
        <v>3240759</v>
      </c>
      <c r="AP41" s="1089">
        <v>327844</v>
      </c>
      <c r="AQ41" s="1088">
        <v>513974</v>
      </c>
      <c r="AR41" s="1089">
        <v>92277</v>
      </c>
      <c r="AS41" s="1088">
        <v>110708</v>
      </c>
      <c r="AT41" s="1089">
        <v>3871971</v>
      </c>
      <c r="AU41" s="1088">
        <v>4557632</v>
      </c>
      <c r="AV41" s="1089">
        <f t="shared" si="0"/>
        <v>26019641</v>
      </c>
      <c r="AW41" s="1088">
        <f t="shared" si="0"/>
        <v>37117142</v>
      </c>
      <c r="AX41" s="1089"/>
      <c r="AY41" s="1088"/>
      <c r="AZ41" s="1089">
        <f t="shared" si="1"/>
        <v>26019641</v>
      </c>
      <c r="BA41" s="314">
        <f t="shared" si="1"/>
        <v>37117142</v>
      </c>
    </row>
    <row r="42" spans="1:53" x14ac:dyDescent="0.3">
      <c r="A42" s="68" t="s">
        <v>340</v>
      </c>
      <c r="B42" s="1090">
        <v>884730</v>
      </c>
      <c r="C42" s="1091">
        <v>932908</v>
      </c>
      <c r="D42" s="1089">
        <v>515639</v>
      </c>
      <c r="E42" s="1088">
        <v>930862</v>
      </c>
      <c r="F42" s="1089">
        <v>118878</v>
      </c>
      <c r="G42" s="1088"/>
      <c r="H42" s="1089">
        <v>3333547</v>
      </c>
      <c r="I42" s="1088">
        <v>3594825</v>
      </c>
      <c r="J42" s="1089">
        <v>232908</v>
      </c>
      <c r="K42" s="1088">
        <v>205218</v>
      </c>
      <c r="L42" s="1089">
        <v>195591</v>
      </c>
      <c r="M42" s="314">
        <v>396731</v>
      </c>
      <c r="N42" s="321">
        <v>464729</v>
      </c>
      <c r="O42" s="314">
        <v>298445</v>
      </c>
      <c r="P42" s="321">
        <v>1000101</v>
      </c>
      <c r="Q42" s="314">
        <v>981670</v>
      </c>
      <c r="R42" s="321">
        <v>369073</v>
      </c>
      <c r="S42" s="314">
        <v>327860</v>
      </c>
      <c r="T42" s="321">
        <v>620928</v>
      </c>
      <c r="U42" s="314">
        <v>812913</v>
      </c>
      <c r="V42" s="321">
        <v>3398807</v>
      </c>
      <c r="W42" s="314">
        <v>3271850</v>
      </c>
      <c r="X42" s="321">
        <v>4611768</v>
      </c>
      <c r="Y42" s="1088">
        <v>4592823</v>
      </c>
      <c r="Z42" s="1089">
        <v>1381655</v>
      </c>
      <c r="AA42" s="1088">
        <v>1303060</v>
      </c>
      <c r="AB42" s="1089">
        <v>352906</v>
      </c>
      <c r="AC42" s="314">
        <v>343658</v>
      </c>
      <c r="AD42" s="321">
        <v>784658</v>
      </c>
      <c r="AE42" s="1088">
        <v>763543</v>
      </c>
      <c r="AF42" s="1089"/>
      <c r="AG42" s="1088">
        <v>2151087</v>
      </c>
      <c r="AH42" s="1089">
        <v>1037061</v>
      </c>
      <c r="AI42" s="314">
        <v>1202776</v>
      </c>
      <c r="AJ42" s="321"/>
      <c r="AK42" s="1088">
        <v>515407</v>
      </c>
      <c r="AL42" s="1089"/>
      <c r="AM42" s="1088"/>
      <c r="AN42" s="1089">
        <v>5991689</v>
      </c>
      <c r="AO42" s="1088">
        <v>5644461</v>
      </c>
      <c r="AP42" s="1089">
        <v>611004</v>
      </c>
      <c r="AQ42" s="1088">
        <v>659568</v>
      </c>
      <c r="AR42" s="1089">
        <v>193575</v>
      </c>
      <c r="AS42" s="1088">
        <v>251773</v>
      </c>
      <c r="AT42" s="1089">
        <v>1081134</v>
      </c>
      <c r="AU42" s="1088">
        <v>1860482</v>
      </c>
      <c r="AV42" s="1089">
        <f t="shared" si="0"/>
        <v>27180381</v>
      </c>
      <c r="AW42" s="1088">
        <f t="shared" si="0"/>
        <v>31041920</v>
      </c>
      <c r="AX42" s="1089"/>
      <c r="AY42" s="1088"/>
      <c r="AZ42" s="1089">
        <f t="shared" si="1"/>
        <v>27180381</v>
      </c>
      <c r="BA42" s="314">
        <f t="shared" si="1"/>
        <v>31041920</v>
      </c>
    </row>
    <row r="43" spans="1:53" x14ac:dyDescent="0.3">
      <c r="A43" s="1092" t="s">
        <v>341</v>
      </c>
      <c r="B43" s="1090"/>
      <c r="C43" s="1091"/>
      <c r="D43" s="1089"/>
      <c r="E43" s="1088"/>
      <c r="F43" s="1089"/>
      <c r="G43" s="1088"/>
      <c r="H43" s="1089"/>
      <c r="I43" s="1088"/>
      <c r="J43" s="1089"/>
      <c r="K43" s="1088"/>
      <c r="L43" s="1089"/>
      <c r="M43" s="314"/>
      <c r="N43" s="321"/>
      <c r="O43" s="314"/>
      <c r="P43" s="321"/>
      <c r="Q43" s="314"/>
      <c r="R43" s="321"/>
      <c r="S43" s="314"/>
      <c r="T43" s="321"/>
      <c r="U43" s="314"/>
      <c r="V43" s="321"/>
      <c r="W43" s="314"/>
      <c r="X43" s="321"/>
      <c r="Y43" s="1088"/>
      <c r="Z43" s="1089"/>
      <c r="AA43" s="1088"/>
      <c r="AB43" s="1089"/>
      <c r="AC43" s="314"/>
      <c r="AD43" s="321"/>
      <c r="AE43" s="1088"/>
      <c r="AF43" s="1089"/>
      <c r="AG43" s="1088"/>
      <c r="AH43" s="1089"/>
      <c r="AI43" s="314"/>
      <c r="AJ43" s="321"/>
      <c r="AK43" s="1088"/>
      <c r="AL43" s="1089"/>
      <c r="AM43" s="1088"/>
      <c r="AN43" s="1089"/>
      <c r="AO43" s="1088"/>
      <c r="AP43" s="1089"/>
      <c r="AQ43" s="1088"/>
      <c r="AR43" s="1089"/>
      <c r="AS43" s="1088"/>
      <c r="AT43" s="1089"/>
      <c r="AU43" s="1088"/>
      <c r="AV43" s="1089">
        <f t="shared" si="0"/>
        <v>0</v>
      </c>
      <c r="AW43" s="1088">
        <f t="shared" si="0"/>
        <v>0</v>
      </c>
      <c r="AX43" s="1089"/>
      <c r="AY43" s="1088"/>
      <c r="AZ43" s="1089">
        <f t="shared" si="1"/>
        <v>0</v>
      </c>
      <c r="BA43" s="314">
        <f t="shared" si="1"/>
        <v>0</v>
      </c>
    </row>
    <row r="44" spans="1:53" x14ac:dyDescent="0.3">
      <c r="A44" s="1092" t="s">
        <v>342</v>
      </c>
      <c r="B44" s="1090"/>
      <c r="C44" s="1091"/>
      <c r="D44" s="1089"/>
      <c r="E44" s="1088"/>
      <c r="F44" s="1089"/>
      <c r="G44" s="1088"/>
      <c r="H44" s="1089"/>
      <c r="I44" s="1088"/>
      <c r="J44" s="1089"/>
      <c r="K44" s="1088"/>
      <c r="L44" s="1089"/>
      <c r="M44" s="314"/>
      <c r="N44" s="321">
        <v>240636</v>
      </c>
      <c r="O44" s="314">
        <v>165521</v>
      </c>
      <c r="P44" s="321"/>
      <c r="Q44" s="314"/>
      <c r="R44" s="321">
        <v>69087</v>
      </c>
      <c r="S44" s="314">
        <v>86404</v>
      </c>
      <c r="T44" s="321"/>
      <c r="U44" s="314"/>
      <c r="V44" s="321"/>
      <c r="W44" s="314"/>
      <c r="X44" s="321"/>
      <c r="Y44" s="1088"/>
      <c r="Z44" s="1089"/>
      <c r="AA44" s="1088"/>
      <c r="AB44" s="1089"/>
      <c r="AC44" s="314"/>
      <c r="AD44" s="321"/>
      <c r="AE44" s="1088"/>
      <c r="AF44" s="1089"/>
      <c r="AG44" s="1088"/>
      <c r="AH44" s="1089"/>
      <c r="AI44" s="314"/>
      <c r="AJ44" s="321"/>
      <c r="AK44" s="1088"/>
      <c r="AL44" s="1089"/>
      <c r="AM44" s="1088"/>
      <c r="AN44" s="1089"/>
      <c r="AO44" s="1088"/>
      <c r="AP44" s="1089"/>
      <c r="AQ44" s="1088"/>
      <c r="AR44" s="1089"/>
      <c r="AS44" s="1088"/>
      <c r="AT44" s="1089"/>
      <c r="AU44" s="1088"/>
      <c r="AV44" s="1089">
        <f t="shared" si="0"/>
        <v>309723</v>
      </c>
      <c r="AW44" s="1088">
        <f t="shared" si="0"/>
        <v>251925</v>
      </c>
      <c r="AX44" s="1089"/>
      <c r="AY44" s="1088"/>
      <c r="AZ44" s="1089">
        <f t="shared" si="1"/>
        <v>309723</v>
      </c>
      <c r="BA44" s="314">
        <f t="shared" si="1"/>
        <v>251925</v>
      </c>
    </row>
    <row r="45" spans="1:53" x14ac:dyDescent="0.3">
      <c r="A45" s="68" t="s">
        <v>343</v>
      </c>
      <c r="B45" s="1090">
        <v>2811072</v>
      </c>
      <c r="C45" s="1091">
        <v>1971348</v>
      </c>
      <c r="D45" s="1089">
        <v>327282</v>
      </c>
      <c r="E45" s="1088">
        <v>195781</v>
      </c>
      <c r="F45" s="1089">
        <v>338054</v>
      </c>
      <c r="G45" s="1088"/>
      <c r="H45" s="1089">
        <v>5220303</v>
      </c>
      <c r="I45" s="1088">
        <v>1389713</v>
      </c>
      <c r="J45" s="1089">
        <v>358684</v>
      </c>
      <c r="K45" s="1088">
        <v>473287</v>
      </c>
      <c r="L45" s="1089">
        <v>1578957</v>
      </c>
      <c r="M45" s="314">
        <v>976155</v>
      </c>
      <c r="N45" s="321">
        <v>314574</v>
      </c>
      <c r="O45" s="314">
        <v>256189</v>
      </c>
      <c r="P45" s="321">
        <v>417027</v>
      </c>
      <c r="Q45" s="314">
        <v>501273</v>
      </c>
      <c r="R45" s="321">
        <v>1447077</v>
      </c>
      <c r="S45" s="314">
        <v>1354954</v>
      </c>
      <c r="T45" s="321">
        <v>652621</v>
      </c>
      <c r="U45" s="314">
        <v>469569</v>
      </c>
      <c r="V45" s="321">
        <v>5211101</v>
      </c>
      <c r="W45" s="314">
        <v>3223439</v>
      </c>
      <c r="X45" s="321">
        <v>3948337</v>
      </c>
      <c r="Y45" s="1088">
        <v>3509339</v>
      </c>
      <c r="Z45" s="1089">
        <v>826048</v>
      </c>
      <c r="AA45" s="1088">
        <v>807689</v>
      </c>
      <c r="AB45" s="1089">
        <v>801212</v>
      </c>
      <c r="AC45" s="314">
        <v>967600</v>
      </c>
      <c r="AD45" s="321">
        <v>1359865</v>
      </c>
      <c r="AE45" s="1088">
        <v>1126049</v>
      </c>
      <c r="AF45" s="1089"/>
      <c r="AG45" s="1088">
        <v>3615153</v>
      </c>
      <c r="AH45" s="1089">
        <v>1784233</v>
      </c>
      <c r="AI45" s="314">
        <v>804542</v>
      </c>
      <c r="AJ45" s="321">
        <v>1653153</v>
      </c>
      <c r="AK45" s="1088">
        <v>1348782</v>
      </c>
      <c r="AL45" s="1089"/>
      <c r="AM45" s="1088"/>
      <c r="AN45" s="1089">
        <v>17540554</v>
      </c>
      <c r="AO45" s="1088">
        <v>21564437</v>
      </c>
      <c r="AP45" s="1089">
        <v>757066</v>
      </c>
      <c r="AQ45" s="1088">
        <v>786685</v>
      </c>
      <c r="AR45" s="1089">
        <v>792982</v>
      </c>
      <c r="AS45" s="1088">
        <v>486990</v>
      </c>
      <c r="AT45" s="1089">
        <v>1407611</v>
      </c>
      <c r="AU45" s="1088">
        <v>1063340</v>
      </c>
      <c r="AV45" s="1089">
        <f t="shared" si="0"/>
        <v>49547813</v>
      </c>
      <c r="AW45" s="1088">
        <f t="shared" si="0"/>
        <v>46892314</v>
      </c>
      <c r="AX45" s="1089"/>
      <c r="AY45" s="1088"/>
      <c r="AZ45" s="1089">
        <f t="shared" si="1"/>
        <v>49547813</v>
      </c>
      <c r="BA45" s="314">
        <f t="shared" si="1"/>
        <v>46892314</v>
      </c>
    </row>
    <row r="46" spans="1:53" x14ac:dyDescent="0.3">
      <c r="A46" s="68" t="s">
        <v>344</v>
      </c>
      <c r="B46" s="1090">
        <v>11039553</v>
      </c>
      <c r="C46" s="1091">
        <v>13217371</v>
      </c>
      <c r="D46" s="1089">
        <v>1483028</v>
      </c>
      <c r="E46" s="1088">
        <v>1525399</v>
      </c>
      <c r="F46" s="1089">
        <v>4399189</v>
      </c>
      <c r="G46" s="1088"/>
      <c r="H46" s="1089">
        <v>21697936</v>
      </c>
      <c r="I46" s="1088">
        <v>22337712</v>
      </c>
      <c r="J46" s="1089">
        <v>3953542</v>
      </c>
      <c r="K46" s="1088">
        <v>4649394</v>
      </c>
      <c r="L46" s="1089">
        <v>2971471</v>
      </c>
      <c r="M46" s="314">
        <v>4292507</v>
      </c>
      <c r="N46" s="321">
        <v>3233743</v>
      </c>
      <c r="O46" s="314">
        <v>3608622</v>
      </c>
      <c r="P46" s="321">
        <v>2170331</v>
      </c>
      <c r="Q46" s="314">
        <v>3117253</v>
      </c>
      <c r="R46" s="321">
        <v>6151450</v>
      </c>
      <c r="S46" s="314">
        <v>6137383</v>
      </c>
      <c r="T46" s="321">
        <v>2091306</v>
      </c>
      <c r="U46" s="314">
        <v>2043982</v>
      </c>
      <c r="V46" s="321">
        <v>39853045</v>
      </c>
      <c r="W46" s="314">
        <v>38544426</v>
      </c>
      <c r="X46" s="321">
        <v>29519063</v>
      </c>
      <c r="Y46" s="1088">
        <v>32944115</v>
      </c>
      <c r="Z46" s="1089">
        <v>4471669</v>
      </c>
      <c r="AA46" s="1088">
        <v>5050370</v>
      </c>
      <c r="AB46" s="1089">
        <v>4172648</v>
      </c>
      <c r="AC46" s="314">
        <v>4414229</v>
      </c>
      <c r="AD46" s="321">
        <v>7981849</v>
      </c>
      <c r="AE46" s="1088">
        <v>10346569</v>
      </c>
      <c r="AF46" s="1089"/>
      <c r="AG46" s="1088">
        <v>20868224</v>
      </c>
      <c r="AH46" s="1089">
        <v>8698846</v>
      </c>
      <c r="AI46" s="314">
        <v>9817614</v>
      </c>
      <c r="AJ46" s="321">
        <v>9806100</v>
      </c>
      <c r="AK46" s="1088">
        <v>10510472</v>
      </c>
      <c r="AL46" s="1089"/>
      <c r="AM46" s="1088"/>
      <c r="AN46" s="1089">
        <v>40354978</v>
      </c>
      <c r="AO46" s="1088">
        <v>44214821</v>
      </c>
      <c r="AP46" s="1089">
        <v>2853872</v>
      </c>
      <c r="AQ46" s="1088">
        <v>3242336</v>
      </c>
      <c r="AR46" s="1089">
        <v>3843707</v>
      </c>
      <c r="AS46" s="1088">
        <v>4197785</v>
      </c>
      <c r="AT46" s="1089">
        <v>9281416</v>
      </c>
      <c r="AU46" s="1088">
        <v>11003392</v>
      </c>
      <c r="AV46" s="1089">
        <f t="shared" si="0"/>
        <v>220028742</v>
      </c>
      <c r="AW46" s="1088">
        <f t="shared" si="0"/>
        <v>256083976</v>
      </c>
      <c r="AX46" s="1089"/>
      <c r="AY46" s="1088"/>
      <c r="AZ46" s="1089">
        <f t="shared" si="1"/>
        <v>220028742</v>
      </c>
      <c r="BA46" s="314">
        <f t="shared" si="1"/>
        <v>256083976</v>
      </c>
    </row>
    <row r="47" spans="1:53" s="1101" customFormat="1" ht="18" x14ac:dyDescent="0.35">
      <c r="A47" s="1092" t="s">
        <v>345</v>
      </c>
      <c r="B47" s="1093">
        <f>SUM(B45:B46)</f>
        <v>13850625</v>
      </c>
      <c r="C47" s="1094">
        <f>SUM(C45:C46)</f>
        <v>15188719</v>
      </c>
      <c r="D47" s="1094">
        <f t="shared" ref="D47:K47" si="4">SUM(D45:D46)</f>
        <v>1810310</v>
      </c>
      <c r="E47" s="1094">
        <f t="shared" si="4"/>
        <v>1721180</v>
      </c>
      <c r="F47" s="1094">
        <f t="shared" si="4"/>
        <v>4737243</v>
      </c>
      <c r="G47" s="1094">
        <f t="shared" si="4"/>
        <v>0</v>
      </c>
      <c r="H47" s="1094">
        <f t="shared" si="4"/>
        <v>26918239</v>
      </c>
      <c r="I47" s="1094">
        <f t="shared" si="4"/>
        <v>23727425</v>
      </c>
      <c r="J47" s="1094">
        <f t="shared" si="4"/>
        <v>4312226</v>
      </c>
      <c r="K47" s="1094">
        <f t="shared" si="4"/>
        <v>5122681</v>
      </c>
      <c r="L47" s="1094">
        <f t="shared" ref="L47:AE47" si="5">SUM(L45:L46)</f>
        <v>4550428</v>
      </c>
      <c r="M47" s="1094">
        <f t="shared" si="5"/>
        <v>5268662</v>
      </c>
      <c r="N47" s="1094">
        <f t="shared" si="5"/>
        <v>3548317</v>
      </c>
      <c r="O47" s="1094">
        <f t="shared" si="5"/>
        <v>3864811</v>
      </c>
      <c r="P47" s="1094">
        <f t="shared" si="5"/>
        <v>2587358</v>
      </c>
      <c r="Q47" s="1094">
        <f t="shared" si="5"/>
        <v>3618526</v>
      </c>
      <c r="R47" s="1094">
        <f t="shared" si="5"/>
        <v>7598527</v>
      </c>
      <c r="S47" s="1094">
        <f t="shared" si="5"/>
        <v>7492337</v>
      </c>
      <c r="T47" s="1094">
        <f t="shared" si="5"/>
        <v>2743927</v>
      </c>
      <c r="U47" s="1094">
        <f t="shared" si="5"/>
        <v>2513551</v>
      </c>
      <c r="V47" s="1094">
        <f t="shared" si="5"/>
        <v>45064146</v>
      </c>
      <c r="W47" s="1094">
        <v>41767865</v>
      </c>
      <c r="X47" s="1094">
        <f t="shared" si="5"/>
        <v>33467400</v>
      </c>
      <c r="Y47" s="1094">
        <v>36453454</v>
      </c>
      <c r="Z47" s="1094">
        <f t="shared" si="5"/>
        <v>5297717</v>
      </c>
      <c r="AA47" s="1094">
        <f t="shared" si="5"/>
        <v>5858059</v>
      </c>
      <c r="AB47" s="1094">
        <f t="shared" si="5"/>
        <v>4973860</v>
      </c>
      <c r="AC47" s="1094">
        <f t="shared" si="5"/>
        <v>5381829</v>
      </c>
      <c r="AD47" s="1094">
        <f t="shared" si="5"/>
        <v>9341714</v>
      </c>
      <c r="AE47" s="1094">
        <f t="shared" si="5"/>
        <v>11472618</v>
      </c>
      <c r="AF47" s="1097"/>
      <c r="AG47" s="1100">
        <f>AG45+AG46</f>
        <v>24483377</v>
      </c>
      <c r="AH47" s="1097">
        <f>AH45+AH46</f>
        <v>10483079</v>
      </c>
      <c r="AI47" s="1097">
        <f>AI45+AI46</f>
        <v>10622156</v>
      </c>
      <c r="AJ47" s="1099">
        <v>11459253</v>
      </c>
      <c r="AK47" s="1100">
        <v>11859254</v>
      </c>
      <c r="AL47" s="1097"/>
      <c r="AM47" s="1100"/>
      <c r="AN47" s="1097">
        <v>57895532</v>
      </c>
      <c r="AO47" s="1100">
        <v>65779258</v>
      </c>
      <c r="AP47" s="1097">
        <v>3610939</v>
      </c>
      <c r="AQ47" s="1100">
        <v>4029022</v>
      </c>
      <c r="AR47" s="1097">
        <v>4636689</v>
      </c>
      <c r="AS47" s="1100">
        <v>4684775</v>
      </c>
      <c r="AT47" s="1097">
        <v>10689027</v>
      </c>
      <c r="AU47" s="1100">
        <v>12066732</v>
      </c>
      <c r="AV47" s="1097"/>
      <c r="AW47" s="1100"/>
      <c r="AX47" s="1097"/>
      <c r="AY47" s="1100"/>
      <c r="AZ47" s="1097">
        <f t="shared" si="1"/>
        <v>0</v>
      </c>
      <c r="BA47" s="1098">
        <f t="shared" si="1"/>
        <v>0</v>
      </c>
    </row>
    <row r="48" spans="1:53" x14ac:dyDescent="0.3">
      <c r="A48" s="68" t="s">
        <v>346</v>
      </c>
      <c r="B48" s="1090">
        <v>8280890</v>
      </c>
      <c r="C48" s="1091">
        <v>9897444</v>
      </c>
      <c r="D48" s="1089">
        <v>1633973</v>
      </c>
      <c r="E48" s="1088">
        <v>1579658</v>
      </c>
      <c r="F48" s="1089">
        <v>3836781</v>
      </c>
      <c r="G48" s="1088"/>
      <c r="H48" s="1089">
        <v>12613728</v>
      </c>
      <c r="I48" s="1088">
        <v>12179375</v>
      </c>
      <c r="J48" s="1089">
        <v>2772861</v>
      </c>
      <c r="K48" s="1088">
        <v>3355700</v>
      </c>
      <c r="L48" s="1089">
        <v>3140426</v>
      </c>
      <c r="M48" s="314">
        <v>4078677</v>
      </c>
      <c r="N48" s="321">
        <v>2207649</v>
      </c>
      <c r="O48" s="314">
        <v>1725905</v>
      </c>
      <c r="P48" s="321">
        <v>1673456</v>
      </c>
      <c r="Q48" s="314">
        <v>2332313</v>
      </c>
      <c r="R48" s="321">
        <v>4010911</v>
      </c>
      <c r="S48" s="314">
        <v>5433629</v>
      </c>
      <c r="T48" s="321">
        <v>1702151</v>
      </c>
      <c r="U48" s="314">
        <v>1676122</v>
      </c>
      <c r="V48" s="321">
        <v>49370252</v>
      </c>
      <c r="W48" s="314">
        <v>53011490</v>
      </c>
      <c r="X48" s="321">
        <v>29059482</v>
      </c>
      <c r="Y48" s="1088">
        <v>34916912</v>
      </c>
      <c r="Z48" s="1089">
        <v>1856945</v>
      </c>
      <c r="AA48" s="1088">
        <v>1641421</v>
      </c>
      <c r="AB48" s="1089">
        <v>3070541</v>
      </c>
      <c r="AC48" s="314">
        <v>3696025</v>
      </c>
      <c r="AD48" s="321">
        <v>10165162</v>
      </c>
      <c r="AE48" s="1088">
        <v>13454023</v>
      </c>
      <c r="AF48" s="1089"/>
      <c r="AG48" s="1088">
        <v>19639726</v>
      </c>
      <c r="AH48" s="1089">
        <v>9666898</v>
      </c>
      <c r="AI48" s="314">
        <v>9870514</v>
      </c>
      <c r="AJ48" s="321">
        <v>7996999</v>
      </c>
      <c r="AK48" s="1088">
        <v>8305297</v>
      </c>
      <c r="AL48" s="1089"/>
      <c r="AM48" s="1088"/>
      <c r="AN48" s="1089">
        <v>24915518</v>
      </c>
      <c r="AO48" s="1088">
        <v>33025744</v>
      </c>
      <c r="AP48" s="1089">
        <v>2340181</v>
      </c>
      <c r="AQ48" s="1088">
        <v>2419009</v>
      </c>
      <c r="AR48" s="1089">
        <v>1625157</v>
      </c>
      <c r="AS48" s="1088">
        <v>2188264</v>
      </c>
      <c r="AT48" s="1089">
        <v>8142636</v>
      </c>
      <c r="AU48" s="1088">
        <v>11106331</v>
      </c>
      <c r="AV48" s="1089">
        <f t="shared" si="0"/>
        <v>190082597</v>
      </c>
      <c r="AW48" s="1088">
        <f t="shared" si="0"/>
        <v>235533579</v>
      </c>
      <c r="AX48" s="1089"/>
      <c r="AY48" s="1088"/>
      <c r="AZ48" s="1089">
        <f t="shared" si="1"/>
        <v>190082597</v>
      </c>
      <c r="BA48" s="314">
        <f t="shared" si="1"/>
        <v>235533579</v>
      </c>
    </row>
    <row r="49" spans="1:53" x14ac:dyDescent="0.3">
      <c r="A49" s="68" t="s">
        <v>347</v>
      </c>
      <c r="B49" s="1090">
        <v>748630</v>
      </c>
      <c r="C49" s="1091">
        <v>891256</v>
      </c>
      <c r="D49" s="1089">
        <v>24228</v>
      </c>
      <c r="E49" s="1088">
        <v>24310</v>
      </c>
      <c r="F49" s="1089">
        <v>122069</v>
      </c>
      <c r="G49" s="1088"/>
      <c r="H49" s="1089">
        <v>4608358</v>
      </c>
      <c r="I49" s="1088">
        <v>4357401</v>
      </c>
      <c r="J49" s="1089">
        <v>210163</v>
      </c>
      <c r="K49" s="1088">
        <v>164261</v>
      </c>
      <c r="L49" s="1089">
        <v>78247</v>
      </c>
      <c r="M49" s="314">
        <v>140288</v>
      </c>
      <c r="N49" s="321">
        <v>1230515</v>
      </c>
      <c r="O49" s="314">
        <v>1813671</v>
      </c>
      <c r="P49" s="321">
        <v>26600</v>
      </c>
      <c r="Q49" s="314">
        <v>34939</v>
      </c>
      <c r="R49" s="321">
        <v>363549</v>
      </c>
      <c r="S49" s="314">
        <v>551294</v>
      </c>
      <c r="T49" s="321">
        <v>121695</v>
      </c>
      <c r="U49" s="314">
        <v>59797</v>
      </c>
      <c r="V49" s="321">
        <v>594557</v>
      </c>
      <c r="W49" s="314">
        <v>643966</v>
      </c>
      <c r="X49" s="321">
        <v>214384</v>
      </c>
      <c r="Y49" s="1088">
        <v>236324</v>
      </c>
      <c r="Z49" s="1089">
        <v>176920</v>
      </c>
      <c r="AA49" s="1088">
        <v>90931</v>
      </c>
      <c r="AB49" s="1089">
        <v>27076</v>
      </c>
      <c r="AC49" s="314">
        <v>21941</v>
      </c>
      <c r="AD49" s="321">
        <v>557095</v>
      </c>
      <c r="AE49" s="1088">
        <v>2729806</v>
      </c>
      <c r="AF49" s="1089"/>
      <c r="AG49" s="1088">
        <v>703291</v>
      </c>
      <c r="AH49" s="1089">
        <v>353297</v>
      </c>
      <c r="AI49" s="314">
        <v>470129</v>
      </c>
      <c r="AJ49" s="321">
        <v>507801</v>
      </c>
      <c r="AK49" s="1088">
        <v>554301</v>
      </c>
      <c r="AL49" s="1089"/>
      <c r="AM49" s="1088"/>
      <c r="AN49" s="1089">
        <v>2439150</v>
      </c>
      <c r="AO49" s="1088">
        <v>2553526</v>
      </c>
      <c r="AP49" s="1089">
        <v>209390</v>
      </c>
      <c r="AQ49" s="1088">
        <v>327289</v>
      </c>
      <c r="AR49" s="1089">
        <v>22675</v>
      </c>
      <c r="AS49" s="1088">
        <v>15677</v>
      </c>
      <c r="AT49" s="1089">
        <v>400208</v>
      </c>
      <c r="AU49" s="1088">
        <v>530443</v>
      </c>
      <c r="AV49" s="1089">
        <f t="shared" si="0"/>
        <v>13036607</v>
      </c>
      <c r="AW49" s="1088">
        <f t="shared" si="0"/>
        <v>16914841</v>
      </c>
      <c r="AX49" s="1089"/>
      <c r="AY49" s="1088"/>
      <c r="AZ49" s="1089">
        <f t="shared" si="1"/>
        <v>13036607</v>
      </c>
      <c r="BA49" s="314">
        <f t="shared" si="1"/>
        <v>16914841</v>
      </c>
    </row>
    <row r="50" spans="1:53" s="1101" customFormat="1" ht="18" x14ac:dyDescent="0.35">
      <c r="A50" s="1092" t="s">
        <v>348</v>
      </c>
      <c r="B50" s="1093">
        <f>SUM(B48:B49)</f>
        <v>9029520</v>
      </c>
      <c r="C50" s="1094">
        <f>SUM(C48:C49)</f>
        <v>10788700</v>
      </c>
      <c r="D50" s="1097">
        <v>1658201</v>
      </c>
      <c r="E50" s="1100">
        <f t="shared" ref="E50:X50" si="6">SUM(E48:E49)</f>
        <v>1603968</v>
      </c>
      <c r="F50" s="1097">
        <f t="shared" si="6"/>
        <v>3958850</v>
      </c>
      <c r="G50" s="1100">
        <f t="shared" si="6"/>
        <v>0</v>
      </c>
      <c r="H50" s="1097">
        <f t="shared" si="6"/>
        <v>17222086</v>
      </c>
      <c r="I50" s="1100">
        <f t="shared" si="6"/>
        <v>16536776</v>
      </c>
      <c r="J50" s="1097">
        <f t="shared" si="6"/>
        <v>2983024</v>
      </c>
      <c r="K50" s="1100">
        <f t="shared" si="6"/>
        <v>3519961</v>
      </c>
      <c r="L50" s="1097">
        <f t="shared" si="6"/>
        <v>3218673</v>
      </c>
      <c r="M50" s="1098">
        <f t="shared" si="6"/>
        <v>4218965</v>
      </c>
      <c r="N50" s="1099">
        <f t="shared" si="6"/>
        <v>3438164</v>
      </c>
      <c r="O50" s="1098">
        <f t="shared" si="6"/>
        <v>3539576</v>
      </c>
      <c r="P50" s="1099">
        <f t="shared" si="6"/>
        <v>1700056</v>
      </c>
      <c r="Q50" s="1098">
        <f t="shared" si="6"/>
        <v>2367252</v>
      </c>
      <c r="R50" s="1099">
        <f t="shared" si="6"/>
        <v>4374460</v>
      </c>
      <c r="S50" s="1098">
        <f t="shared" si="6"/>
        <v>5984923</v>
      </c>
      <c r="T50" s="1099">
        <f t="shared" si="6"/>
        <v>1823846</v>
      </c>
      <c r="U50" s="1098">
        <f t="shared" si="6"/>
        <v>1735919</v>
      </c>
      <c r="V50" s="1099">
        <f t="shared" si="6"/>
        <v>49964809</v>
      </c>
      <c r="W50" s="1098">
        <v>53655456</v>
      </c>
      <c r="X50" s="1099">
        <f t="shared" si="6"/>
        <v>29273866</v>
      </c>
      <c r="Y50" s="1100">
        <f>SUM(Y48:Y49)</f>
        <v>35153236</v>
      </c>
      <c r="Z50" s="1100">
        <f t="shared" ref="Z50:AK50" si="7">SUM(Z48:Z49)</f>
        <v>2033865</v>
      </c>
      <c r="AA50" s="1100">
        <f t="shared" si="7"/>
        <v>1732352</v>
      </c>
      <c r="AB50" s="1100">
        <f t="shared" si="7"/>
        <v>3097617</v>
      </c>
      <c r="AC50" s="1100">
        <f t="shared" si="7"/>
        <v>3717966</v>
      </c>
      <c r="AD50" s="1100">
        <f t="shared" si="7"/>
        <v>10722257</v>
      </c>
      <c r="AE50" s="1100">
        <f t="shared" si="7"/>
        <v>16183829</v>
      </c>
      <c r="AF50" s="1100">
        <f t="shared" si="7"/>
        <v>0</v>
      </c>
      <c r="AG50" s="1100">
        <f t="shared" si="7"/>
        <v>20343017</v>
      </c>
      <c r="AH50" s="1100">
        <f t="shared" si="7"/>
        <v>10020195</v>
      </c>
      <c r="AI50" s="1100">
        <f t="shared" si="7"/>
        <v>10340643</v>
      </c>
      <c r="AJ50" s="1100">
        <f t="shared" si="7"/>
        <v>8504800</v>
      </c>
      <c r="AK50" s="1100">
        <f t="shared" si="7"/>
        <v>8859598</v>
      </c>
      <c r="AL50" s="1097"/>
      <c r="AM50" s="1100"/>
      <c r="AN50" s="1097">
        <f>SUM(AN48:AN49)</f>
        <v>27354668</v>
      </c>
      <c r="AO50" s="1097">
        <f>SUM(AO48:AO49)</f>
        <v>35579270</v>
      </c>
      <c r="AP50" s="1097">
        <f t="shared" ref="AP50:AU50" si="8">SUM(AP48:AP49)</f>
        <v>2549571</v>
      </c>
      <c r="AQ50" s="1097">
        <f t="shared" si="8"/>
        <v>2746298</v>
      </c>
      <c r="AR50" s="1097">
        <f t="shared" si="8"/>
        <v>1647832</v>
      </c>
      <c r="AS50" s="1100">
        <f t="shared" si="8"/>
        <v>2203941</v>
      </c>
      <c r="AT50" s="1097">
        <f t="shared" si="8"/>
        <v>8542844</v>
      </c>
      <c r="AU50" s="1100">
        <f t="shared" si="8"/>
        <v>11636774</v>
      </c>
      <c r="AV50" s="1089">
        <f t="shared" si="0"/>
        <v>203119204</v>
      </c>
      <c r="AW50" s="1088">
        <f t="shared" si="0"/>
        <v>252448420</v>
      </c>
      <c r="AX50" s="1097"/>
      <c r="AY50" s="1100">
        <f>SUM(AY48:AY49)</f>
        <v>0</v>
      </c>
      <c r="AZ50" s="1097">
        <f t="shared" si="1"/>
        <v>203119204</v>
      </c>
      <c r="BA50" s="1098">
        <f t="shared" si="1"/>
        <v>252448420</v>
      </c>
    </row>
    <row r="51" spans="1:53" s="1101" customFormat="1" ht="18" x14ac:dyDescent="0.35">
      <c r="A51" s="1092" t="s">
        <v>349</v>
      </c>
      <c r="B51" s="1093">
        <f t="shared" ref="B51:AE51" si="9">B47-B50</f>
        <v>4821105</v>
      </c>
      <c r="C51" s="1094">
        <f t="shared" si="9"/>
        <v>4400019</v>
      </c>
      <c r="D51" s="1097">
        <f t="shared" si="9"/>
        <v>152109</v>
      </c>
      <c r="E51" s="1100">
        <f t="shared" si="9"/>
        <v>117212</v>
      </c>
      <c r="F51" s="1097">
        <f t="shared" si="9"/>
        <v>778393</v>
      </c>
      <c r="G51" s="1100">
        <f t="shared" si="9"/>
        <v>0</v>
      </c>
      <c r="H51" s="1097">
        <f t="shared" si="9"/>
        <v>9696153</v>
      </c>
      <c r="I51" s="1100">
        <f t="shared" si="9"/>
        <v>7190649</v>
      </c>
      <c r="J51" s="1097">
        <f t="shared" si="9"/>
        <v>1329202</v>
      </c>
      <c r="K51" s="1100">
        <f t="shared" si="9"/>
        <v>1602720</v>
      </c>
      <c r="L51" s="1097">
        <f t="shared" si="9"/>
        <v>1331755</v>
      </c>
      <c r="M51" s="1098">
        <f t="shared" si="9"/>
        <v>1049697</v>
      </c>
      <c r="N51" s="1099">
        <f t="shared" si="9"/>
        <v>110153</v>
      </c>
      <c r="O51" s="1098">
        <f t="shared" si="9"/>
        <v>325235</v>
      </c>
      <c r="P51" s="1099">
        <f t="shared" si="9"/>
        <v>887302</v>
      </c>
      <c r="Q51" s="1098">
        <f t="shared" si="9"/>
        <v>1251274</v>
      </c>
      <c r="R51" s="1099">
        <f t="shared" si="9"/>
        <v>3224067</v>
      </c>
      <c r="S51" s="1098">
        <f t="shared" si="9"/>
        <v>1507414</v>
      </c>
      <c r="T51" s="1099">
        <f t="shared" si="9"/>
        <v>920081</v>
      </c>
      <c r="U51" s="1098">
        <f t="shared" si="9"/>
        <v>777632</v>
      </c>
      <c r="V51" s="1099">
        <f t="shared" si="9"/>
        <v>-4900663</v>
      </c>
      <c r="W51" s="1098">
        <v>-11887591</v>
      </c>
      <c r="X51" s="1099">
        <f t="shared" si="9"/>
        <v>4193534</v>
      </c>
      <c r="Y51" s="1100">
        <f t="shared" si="9"/>
        <v>1300218</v>
      </c>
      <c r="Z51" s="1100">
        <f t="shared" si="9"/>
        <v>3263852</v>
      </c>
      <c r="AA51" s="1100">
        <f t="shared" si="9"/>
        <v>4125707</v>
      </c>
      <c r="AB51" s="1100">
        <f t="shared" si="9"/>
        <v>1876243</v>
      </c>
      <c r="AC51" s="1100">
        <f t="shared" si="9"/>
        <v>1663863</v>
      </c>
      <c r="AD51" s="1100">
        <f t="shared" si="9"/>
        <v>-1380543</v>
      </c>
      <c r="AE51" s="1100">
        <f t="shared" si="9"/>
        <v>-4711211</v>
      </c>
      <c r="AF51" s="1097"/>
      <c r="AG51" s="1100">
        <v>4140360</v>
      </c>
      <c r="AH51" s="1097">
        <v>462884</v>
      </c>
      <c r="AI51" s="1098">
        <v>281513</v>
      </c>
      <c r="AJ51" s="1099">
        <v>2954453</v>
      </c>
      <c r="AK51" s="1100">
        <v>2999656</v>
      </c>
      <c r="AL51" s="1097">
        <f>AL47-AL50</f>
        <v>0</v>
      </c>
      <c r="AM51" s="1100">
        <f>AM47-AM50</f>
        <v>0</v>
      </c>
      <c r="AN51" s="1097">
        <f>AN47-AN50</f>
        <v>30540864</v>
      </c>
      <c r="AO51" s="1100">
        <f>AO47-AO50</f>
        <v>30199988</v>
      </c>
      <c r="AP51" s="1097">
        <f t="shared" ref="AP51:AU51" si="10">AP47-AP50</f>
        <v>1061368</v>
      </c>
      <c r="AQ51" s="1100">
        <f t="shared" si="10"/>
        <v>1282724</v>
      </c>
      <c r="AR51" s="1097">
        <f t="shared" si="10"/>
        <v>2988857</v>
      </c>
      <c r="AS51" s="1100">
        <f t="shared" si="10"/>
        <v>2480834</v>
      </c>
      <c r="AT51" s="1097">
        <f t="shared" si="10"/>
        <v>2146183</v>
      </c>
      <c r="AU51" s="1100">
        <f t="shared" si="10"/>
        <v>429958</v>
      </c>
      <c r="AV51" s="1089">
        <f t="shared" si="0"/>
        <v>66457352</v>
      </c>
      <c r="AW51" s="1088">
        <f t="shared" si="0"/>
        <v>50527871</v>
      </c>
      <c r="AX51" s="1097"/>
      <c r="AY51" s="1100">
        <f>AY47-AY50</f>
        <v>0</v>
      </c>
      <c r="AZ51" s="1097">
        <f t="shared" si="1"/>
        <v>66457352</v>
      </c>
      <c r="BA51" s="1098">
        <f t="shared" si="1"/>
        <v>50527871</v>
      </c>
    </row>
    <row r="52" spans="1:53" x14ac:dyDescent="0.3">
      <c r="A52" s="68" t="s">
        <v>350</v>
      </c>
      <c r="B52" s="1090"/>
      <c r="C52" s="1091"/>
      <c r="D52" s="1089"/>
      <c r="E52" s="1088"/>
      <c r="F52" s="1089"/>
      <c r="G52" s="1088"/>
      <c r="H52" s="1089"/>
      <c r="I52" s="1088"/>
      <c r="J52" s="1089"/>
      <c r="K52" s="1088"/>
      <c r="L52" s="1089"/>
      <c r="M52" s="314"/>
      <c r="N52" s="321"/>
      <c r="O52" s="314"/>
      <c r="P52" s="321"/>
      <c r="Q52" s="314"/>
      <c r="R52" s="321"/>
      <c r="S52" s="314"/>
      <c r="T52" s="321"/>
      <c r="U52" s="314"/>
      <c r="V52" s="321"/>
      <c r="W52" s="314"/>
      <c r="X52" s="321"/>
      <c r="Y52" s="1088"/>
      <c r="Z52" s="1089"/>
      <c r="AA52" s="1088"/>
      <c r="AB52" s="1089"/>
      <c r="AC52" s="314"/>
      <c r="AD52" s="321"/>
      <c r="AE52" s="1088"/>
      <c r="AF52" s="1089"/>
      <c r="AG52" s="1088"/>
      <c r="AH52" s="1089"/>
      <c r="AI52" s="314"/>
      <c r="AJ52" s="321"/>
      <c r="AK52" s="1088"/>
      <c r="AL52" s="1089"/>
      <c r="AM52" s="1088"/>
      <c r="AN52" s="1089"/>
      <c r="AO52" s="1088"/>
      <c r="AP52" s="1089"/>
      <c r="AQ52" s="1088"/>
      <c r="AR52" s="1089"/>
      <c r="AS52" s="1088"/>
      <c r="AT52" s="1089"/>
      <c r="AU52" s="1088"/>
      <c r="AV52" s="1089">
        <f t="shared" si="0"/>
        <v>0</v>
      </c>
      <c r="AW52" s="1088">
        <f t="shared" si="0"/>
        <v>0</v>
      </c>
      <c r="AX52" s="1089"/>
      <c r="AY52" s="1088"/>
      <c r="AZ52" s="1089">
        <f t="shared" si="1"/>
        <v>0</v>
      </c>
      <c r="BA52" s="314">
        <f t="shared" si="1"/>
        <v>0</v>
      </c>
    </row>
    <row r="53" spans="1:53" x14ac:dyDescent="0.3">
      <c r="A53" s="68" t="s">
        <v>351</v>
      </c>
      <c r="B53" s="1090"/>
      <c r="C53" s="1091"/>
      <c r="D53" s="1089"/>
      <c r="E53" s="1088"/>
      <c r="F53" s="1089"/>
      <c r="G53" s="1088"/>
      <c r="H53" s="1089"/>
      <c r="I53" s="1088"/>
      <c r="J53" s="1089"/>
      <c r="K53" s="1088"/>
      <c r="L53" s="1089"/>
      <c r="M53" s="314"/>
      <c r="N53" s="321"/>
      <c r="O53" s="314"/>
      <c r="P53" s="321"/>
      <c r="Q53" s="314"/>
      <c r="R53" s="321"/>
      <c r="S53" s="314"/>
      <c r="T53" s="321"/>
      <c r="U53" s="314"/>
      <c r="V53" s="321"/>
      <c r="W53" s="314"/>
      <c r="X53" s="321"/>
      <c r="Y53" s="1088"/>
      <c r="Z53" s="1089"/>
      <c r="AA53" s="1088"/>
      <c r="AB53" s="1089"/>
      <c r="AC53" s="314"/>
      <c r="AD53" s="321"/>
      <c r="AE53" s="1088"/>
      <c r="AF53" s="1089"/>
      <c r="AG53" s="1088"/>
      <c r="AH53" s="1089"/>
      <c r="AI53" s="314"/>
      <c r="AJ53" s="321"/>
      <c r="AK53" s="1088"/>
      <c r="AL53" s="1089"/>
      <c r="AM53" s="1088"/>
      <c r="AN53" s="1089"/>
      <c r="AO53" s="1088"/>
      <c r="AP53" s="1089"/>
      <c r="AQ53" s="1088"/>
      <c r="AR53" s="1089"/>
      <c r="AS53" s="1088"/>
      <c r="AT53" s="1089"/>
      <c r="AU53" s="1088"/>
      <c r="AV53" s="1089">
        <f t="shared" si="0"/>
        <v>0</v>
      </c>
      <c r="AW53" s="1088">
        <f t="shared" si="0"/>
        <v>0</v>
      </c>
      <c r="AX53" s="1089"/>
      <c r="AY53" s="1088"/>
      <c r="AZ53" s="1089">
        <f t="shared" si="1"/>
        <v>0</v>
      </c>
      <c r="BA53" s="314">
        <f t="shared" si="1"/>
        <v>0</v>
      </c>
    </row>
    <row r="54" spans="1:53" x14ac:dyDescent="0.3">
      <c r="A54" s="68" t="s">
        <v>352</v>
      </c>
      <c r="B54" s="1090">
        <v>178081</v>
      </c>
      <c r="C54" s="1091"/>
      <c r="D54" s="1089">
        <v>5834761</v>
      </c>
      <c r="E54" s="1088">
        <v>6651963</v>
      </c>
      <c r="F54" s="1089">
        <v>12899895</v>
      </c>
      <c r="G54" s="1088"/>
      <c r="H54" s="1089"/>
      <c r="I54" s="1088"/>
      <c r="J54" s="1089">
        <v>25587760</v>
      </c>
      <c r="K54" s="1088">
        <v>27802178</v>
      </c>
      <c r="L54" s="1089"/>
      <c r="M54" s="314"/>
      <c r="N54" s="321">
        <v>3040596</v>
      </c>
      <c r="O54" s="314">
        <v>2112275</v>
      </c>
      <c r="P54" s="321">
        <v>12439536</v>
      </c>
      <c r="Q54" s="314">
        <v>15236118</v>
      </c>
      <c r="R54" s="321">
        <v>7886965</v>
      </c>
      <c r="S54" s="314">
        <v>7244037</v>
      </c>
      <c r="T54" s="321">
        <v>17082096</v>
      </c>
      <c r="U54" s="314">
        <v>18426752</v>
      </c>
      <c r="V54" s="321"/>
      <c r="W54" s="314"/>
      <c r="X54" s="321"/>
      <c r="Y54" s="1088"/>
      <c r="Z54" s="1089"/>
      <c r="AA54" s="1088"/>
      <c r="AB54" s="1089">
        <v>2538592</v>
      </c>
      <c r="AC54" s="314">
        <v>2468097</v>
      </c>
      <c r="AD54" s="321"/>
      <c r="AE54" s="1088"/>
      <c r="AF54" s="1089"/>
      <c r="AG54" s="1088"/>
      <c r="AH54" s="1089">
        <v>7778657</v>
      </c>
      <c r="AI54" s="314">
        <v>6734717</v>
      </c>
      <c r="AJ54" s="321">
        <v>2167232</v>
      </c>
      <c r="AK54" s="1088">
        <v>2041163</v>
      </c>
      <c r="AL54" s="1089"/>
      <c r="AM54" s="1088"/>
      <c r="AN54" s="1089"/>
      <c r="AO54" s="1088"/>
      <c r="AP54" s="1089"/>
      <c r="AQ54" s="1088"/>
      <c r="AR54" s="1089"/>
      <c r="AS54" s="1088"/>
      <c r="AT54" s="1089"/>
      <c r="AU54" s="1088"/>
      <c r="AV54" s="1089">
        <f t="shared" si="0"/>
        <v>97434171</v>
      </c>
      <c r="AW54" s="1088">
        <f t="shared" si="0"/>
        <v>88717300</v>
      </c>
      <c r="AX54" s="1089"/>
      <c r="AY54" s="1088"/>
      <c r="AZ54" s="1089">
        <f t="shared" si="1"/>
        <v>97434171</v>
      </c>
      <c r="BA54" s="314">
        <f t="shared" si="1"/>
        <v>88717300</v>
      </c>
    </row>
    <row r="55" spans="1:53" x14ac:dyDescent="0.3">
      <c r="A55" s="68" t="s">
        <v>353</v>
      </c>
      <c r="B55" s="1090"/>
      <c r="C55" s="1091"/>
      <c r="D55" s="1089">
        <v>13569063</v>
      </c>
      <c r="E55" s="1088">
        <v>13749831</v>
      </c>
      <c r="F55" s="1089"/>
      <c r="G55" s="1088"/>
      <c r="H55" s="1089"/>
      <c r="I55" s="1088"/>
      <c r="J55" s="1089"/>
      <c r="K55" s="1088"/>
      <c r="L55" s="1089"/>
      <c r="M55" s="314"/>
      <c r="N55" s="321"/>
      <c r="O55" s="314"/>
      <c r="P55" s="321"/>
      <c r="Q55" s="314"/>
      <c r="R55" s="321"/>
      <c r="S55" s="314"/>
      <c r="T55" s="321"/>
      <c r="U55" s="314"/>
      <c r="V55" s="321"/>
      <c r="W55" s="314"/>
      <c r="X55" s="321"/>
      <c r="Y55" s="1088"/>
      <c r="Z55" s="1089"/>
      <c r="AA55" s="1088">
        <v>95141</v>
      </c>
      <c r="AB55" s="1089">
        <v>185952</v>
      </c>
      <c r="AC55" s="314">
        <v>42734</v>
      </c>
      <c r="AD55" s="321"/>
      <c r="AE55" s="1088"/>
      <c r="AF55" s="1089"/>
      <c r="AG55" s="1088"/>
      <c r="AH55" s="1089"/>
      <c r="AI55" s="314"/>
      <c r="AJ55" s="321"/>
      <c r="AK55" s="1088"/>
      <c r="AL55" s="1089"/>
      <c r="AM55" s="1088"/>
      <c r="AN55" s="1089"/>
      <c r="AO55" s="1088"/>
      <c r="AP55" s="1089"/>
      <c r="AQ55" s="1088"/>
      <c r="AR55" s="1089"/>
      <c r="AS55" s="1088"/>
      <c r="AT55" s="1089"/>
      <c r="AU55" s="1088"/>
      <c r="AV55" s="1089">
        <f t="shared" si="0"/>
        <v>13755015</v>
      </c>
      <c r="AW55" s="1088">
        <f t="shared" si="0"/>
        <v>13887706</v>
      </c>
      <c r="AX55" s="1089"/>
      <c r="AY55" s="1088"/>
      <c r="AZ55" s="1089">
        <f t="shared" si="1"/>
        <v>13755015</v>
      </c>
      <c r="BA55" s="314">
        <f t="shared" si="1"/>
        <v>13887706</v>
      </c>
    </row>
    <row r="56" spans="1:53" s="1101" customFormat="1" ht="18" x14ac:dyDescent="0.35">
      <c r="A56" s="1092" t="s">
        <v>333</v>
      </c>
      <c r="B56" s="1093">
        <v>4211827207</v>
      </c>
      <c r="C56" s="1094">
        <v>476165101</v>
      </c>
      <c r="D56" s="1097">
        <v>46454537</v>
      </c>
      <c r="E56" s="1100">
        <v>51241500</v>
      </c>
      <c r="F56" s="1097">
        <v>108748753</v>
      </c>
      <c r="G56" s="1100"/>
      <c r="H56" s="1097">
        <v>594307302</v>
      </c>
      <c r="I56" s="1100">
        <v>654315492</v>
      </c>
      <c r="J56" s="1097">
        <v>91338887</v>
      </c>
      <c r="K56" s="1100">
        <v>109691874</v>
      </c>
      <c r="L56" s="1097">
        <v>159479019</v>
      </c>
      <c r="M56" s="1098">
        <v>184063035</v>
      </c>
      <c r="N56" s="1099">
        <v>50932753</v>
      </c>
      <c r="O56" s="1098">
        <v>56100370</v>
      </c>
      <c r="P56" s="1099">
        <v>44226593</v>
      </c>
      <c r="Q56" s="1098">
        <v>52758577</v>
      </c>
      <c r="R56" s="1099">
        <v>160649340</v>
      </c>
      <c r="S56" s="1098">
        <v>177622142</v>
      </c>
      <c r="T56" s="1099">
        <v>58372712</v>
      </c>
      <c r="U56" s="1098">
        <v>65113303</v>
      </c>
      <c r="V56" s="1099">
        <v>1310529609</v>
      </c>
      <c r="W56" s="1098">
        <v>1500850984</v>
      </c>
      <c r="X56" s="1099">
        <v>1650902755</v>
      </c>
      <c r="Y56" s="1100">
        <v>1808908447</v>
      </c>
      <c r="Z56" s="1097">
        <v>97421560</v>
      </c>
      <c r="AA56" s="1100">
        <v>10970423</v>
      </c>
      <c r="AB56" s="1097">
        <v>2724544</v>
      </c>
      <c r="AC56" s="1098">
        <v>150841594</v>
      </c>
      <c r="AD56" s="1099">
        <v>330618128</v>
      </c>
      <c r="AE56" s="1100">
        <v>389697030</v>
      </c>
      <c r="AF56" s="1097"/>
      <c r="AG56" s="1100">
        <v>788671226</v>
      </c>
      <c r="AH56" s="1097">
        <v>226077119</v>
      </c>
      <c r="AI56" s="1098">
        <v>257574620</v>
      </c>
      <c r="AJ56" s="1099">
        <v>212611961</v>
      </c>
      <c r="AK56" s="1100">
        <v>225230490</v>
      </c>
      <c r="AL56" s="1097"/>
      <c r="AM56" s="1100"/>
      <c r="AN56" s="1097">
        <v>1570512666</v>
      </c>
      <c r="AO56" s="1100">
        <v>1882466150</v>
      </c>
      <c r="AP56" s="1097">
        <v>47327673</v>
      </c>
      <c r="AQ56" s="1100">
        <v>57152759</v>
      </c>
      <c r="AR56" s="1097">
        <v>90816276</v>
      </c>
      <c r="AS56" s="1100">
        <v>105228234</v>
      </c>
      <c r="AT56" s="1097">
        <v>312040114</v>
      </c>
      <c r="AU56" s="1100">
        <v>380939336</v>
      </c>
      <c r="AV56" s="1097">
        <f t="shared" si="0"/>
        <v>11377919508</v>
      </c>
      <c r="AW56" s="1100">
        <f t="shared" si="0"/>
        <v>9385602687</v>
      </c>
      <c r="AX56" s="1097"/>
      <c r="AY56" s="1100"/>
      <c r="AZ56" s="1097">
        <f t="shared" si="1"/>
        <v>11377919508</v>
      </c>
      <c r="BA56" s="1098">
        <f t="shared" si="1"/>
        <v>9385602687</v>
      </c>
    </row>
    <row r="57" spans="1:53" x14ac:dyDescent="0.3">
      <c r="A57" s="1092" t="s">
        <v>354</v>
      </c>
      <c r="B57" s="321"/>
      <c r="C57" s="1088"/>
      <c r="D57" s="1089"/>
      <c r="E57" s="1088"/>
      <c r="F57" s="1089"/>
      <c r="G57" s="1088"/>
      <c r="H57" s="1089"/>
      <c r="I57" s="1088"/>
      <c r="J57" s="1089"/>
      <c r="K57" s="1088"/>
      <c r="L57" s="1089"/>
      <c r="M57" s="314"/>
      <c r="N57" s="321"/>
      <c r="O57" s="314"/>
      <c r="P57" s="321"/>
      <c r="Q57" s="314"/>
      <c r="R57" s="321"/>
      <c r="S57" s="314"/>
      <c r="T57" s="321"/>
      <c r="U57" s="314"/>
      <c r="V57" s="321"/>
      <c r="W57" s="314"/>
      <c r="X57" s="321"/>
      <c r="Y57" s="1088"/>
      <c r="Z57" s="1089"/>
      <c r="AA57" s="1088"/>
      <c r="AB57" s="1089"/>
      <c r="AC57" s="314"/>
      <c r="AD57" s="321"/>
      <c r="AE57" s="1088"/>
      <c r="AF57" s="1089"/>
      <c r="AG57" s="1088"/>
      <c r="AH57" s="1089"/>
      <c r="AI57" s="314"/>
      <c r="AJ57" s="321"/>
      <c r="AK57" s="1088"/>
      <c r="AL57" s="1089"/>
      <c r="AM57" s="1088"/>
      <c r="AN57" s="1089"/>
      <c r="AO57" s="1088"/>
      <c r="AP57" s="1089"/>
      <c r="AQ57" s="1088"/>
      <c r="AR57" s="1089"/>
      <c r="AS57" s="1088"/>
      <c r="AT57" s="1089"/>
      <c r="AU57" s="1088"/>
      <c r="AV57" s="1089">
        <f t="shared" si="0"/>
        <v>0</v>
      </c>
      <c r="AW57" s="1088">
        <f t="shared" si="0"/>
        <v>0</v>
      </c>
      <c r="AX57" s="1089"/>
      <c r="AY57" s="1088"/>
      <c r="AZ57" s="1089">
        <f t="shared" si="1"/>
        <v>0</v>
      </c>
      <c r="BA57" s="314">
        <f t="shared" si="1"/>
        <v>0</v>
      </c>
    </row>
    <row r="58" spans="1:53" x14ac:dyDescent="0.3">
      <c r="A58" s="1092" t="s">
        <v>0</v>
      </c>
      <c r="B58" s="321"/>
      <c r="C58" s="1088"/>
      <c r="D58" s="1089"/>
      <c r="E58" s="1088"/>
      <c r="F58" s="1089"/>
      <c r="G58" s="1088"/>
      <c r="H58" s="1089"/>
      <c r="I58" s="1088"/>
      <c r="J58" s="1089"/>
      <c r="K58" s="1088"/>
      <c r="L58" s="1089"/>
      <c r="M58" s="314"/>
      <c r="N58" s="321"/>
      <c r="O58" s="314"/>
      <c r="P58" s="321"/>
      <c r="Q58" s="314"/>
      <c r="R58" s="321"/>
      <c r="S58" s="314"/>
      <c r="T58" s="321"/>
      <c r="U58" s="314"/>
      <c r="V58" s="321"/>
      <c r="W58" s="314"/>
      <c r="X58" s="321"/>
      <c r="Y58" s="1088"/>
      <c r="Z58" s="1089"/>
      <c r="AA58" s="1088"/>
      <c r="AB58" s="1089"/>
      <c r="AC58" s="314"/>
      <c r="AD58" s="321"/>
      <c r="AE58" s="1088"/>
      <c r="AF58" s="1089"/>
      <c r="AG58" s="1088"/>
      <c r="AH58" s="1089"/>
      <c r="AI58" s="314"/>
      <c r="AJ58" s="321"/>
      <c r="AK58" s="1088"/>
      <c r="AL58" s="1089"/>
      <c r="AM58" s="1088"/>
      <c r="AN58" s="1089"/>
      <c r="AO58" s="1088"/>
      <c r="AP58" s="1089"/>
      <c r="AQ58" s="1088"/>
      <c r="AR58" s="1089"/>
      <c r="AS58" s="1088"/>
      <c r="AT58" s="1089"/>
      <c r="AU58" s="1088"/>
      <c r="AV58" s="1089">
        <f t="shared" si="0"/>
        <v>0</v>
      </c>
      <c r="AW58" s="1088">
        <f t="shared" si="0"/>
        <v>0</v>
      </c>
      <c r="AX58" s="1089"/>
      <c r="AY58" s="1088"/>
      <c r="AZ58" s="1089">
        <f t="shared" si="1"/>
        <v>0</v>
      </c>
      <c r="BA58" s="314">
        <f t="shared" si="1"/>
        <v>0</v>
      </c>
    </row>
    <row r="59" spans="1:53" x14ac:dyDescent="0.3">
      <c r="A59" s="68" t="s">
        <v>355</v>
      </c>
      <c r="B59" s="321">
        <v>7117111</v>
      </c>
      <c r="C59" s="1088">
        <v>5765020</v>
      </c>
      <c r="D59" s="1089"/>
      <c r="E59" s="1088"/>
      <c r="F59" s="1089"/>
      <c r="G59" s="1088"/>
      <c r="H59" s="1089"/>
      <c r="I59" s="1088"/>
      <c r="J59" s="1089"/>
      <c r="K59" s="1088"/>
      <c r="L59" s="1089"/>
      <c r="M59" s="314"/>
      <c r="N59" s="321">
        <v>949</v>
      </c>
      <c r="O59" s="314">
        <v>949</v>
      </c>
      <c r="P59" s="321"/>
      <c r="Q59" s="314"/>
      <c r="R59" s="321"/>
      <c r="S59" s="314"/>
      <c r="T59" s="321"/>
      <c r="U59" s="314"/>
      <c r="V59" s="321">
        <v>22773536</v>
      </c>
      <c r="W59" s="314">
        <v>19922973</v>
      </c>
      <c r="X59" s="321">
        <v>6000000</v>
      </c>
      <c r="Y59" s="1088">
        <v>11697231</v>
      </c>
      <c r="Z59" s="1089"/>
      <c r="AA59" s="1088"/>
      <c r="AB59" s="1089"/>
      <c r="AC59" s="314"/>
      <c r="AD59" s="321">
        <v>3910177</v>
      </c>
      <c r="AE59" s="1088">
        <v>3058267</v>
      </c>
      <c r="AF59" s="1089"/>
      <c r="AG59" s="1088"/>
      <c r="AH59" s="1089">
        <v>5150000</v>
      </c>
      <c r="AI59" s="314">
        <v>3850000</v>
      </c>
      <c r="AJ59" s="321">
        <v>306180</v>
      </c>
      <c r="AK59" s="1088">
        <v>311248</v>
      </c>
      <c r="AL59" s="1089"/>
      <c r="AM59" s="1088"/>
      <c r="AN59" s="1089">
        <v>10600000</v>
      </c>
      <c r="AO59" s="1088">
        <v>13900000</v>
      </c>
      <c r="AP59" s="1089"/>
      <c r="AQ59" s="1088"/>
      <c r="AR59" s="1089"/>
      <c r="AS59" s="1088"/>
      <c r="AT59" s="1089"/>
      <c r="AU59" s="1088"/>
      <c r="AV59" s="1089">
        <f t="shared" si="0"/>
        <v>55857953</v>
      </c>
      <c r="AW59" s="1088">
        <f t="shared" si="0"/>
        <v>58505688</v>
      </c>
      <c r="AX59" s="1089"/>
      <c r="AY59" s="1088"/>
      <c r="AZ59" s="1089">
        <f t="shared" si="1"/>
        <v>55857953</v>
      </c>
      <c r="BA59" s="314">
        <f t="shared" si="1"/>
        <v>58505688</v>
      </c>
    </row>
    <row r="60" spans="1:53" x14ac:dyDescent="0.3">
      <c r="A60" s="68" t="s">
        <v>356</v>
      </c>
      <c r="B60" s="321">
        <v>22149</v>
      </c>
      <c r="C60" s="1088">
        <v>21967</v>
      </c>
      <c r="D60" s="1089"/>
      <c r="E60" s="1088"/>
      <c r="F60" s="1089">
        <v>17273</v>
      </c>
      <c r="G60" s="1088"/>
      <c r="H60" s="1089"/>
      <c r="I60" s="1088"/>
      <c r="J60" s="1089"/>
      <c r="K60" s="1088"/>
      <c r="L60" s="1089">
        <v>193184</v>
      </c>
      <c r="M60" s="314">
        <v>254022</v>
      </c>
      <c r="N60" s="321">
        <v>1302</v>
      </c>
      <c r="O60" s="314">
        <v>1567</v>
      </c>
      <c r="P60" s="321"/>
      <c r="Q60" s="314"/>
      <c r="R60" s="321"/>
      <c r="S60" s="314"/>
      <c r="T60" s="321">
        <v>15105</v>
      </c>
      <c r="U60" s="314">
        <v>12493</v>
      </c>
      <c r="V60" s="321"/>
      <c r="W60" s="314"/>
      <c r="X60" s="321">
        <f>1034+42821+9028</f>
        <v>52883</v>
      </c>
      <c r="Y60" s="1088">
        <f>1176+41354+8523</f>
        <v>51053</v>
      </c>
      <c r="Z60" s="1089"/>
      <c r="AA60" s="1088"/>
      <c r="AB60" s="1089"/>
      <c r="AC60" s="314"/>
      <c r="AD60" s="321">
        <v>4113</v>
      </c>
      <c r="AE60" s="1088">
        <v>5429</v>
      </c>
      <c r="AF60" s="1089"/>
      <c r="AG60" s="1088"/>
      <c r="AH60" s="1089">
        <v>54391</v>
      </c>
      <c r="AI60" s="314">
        <v>6411</v>
      </c>
      <c r="AJ60" s="321">
        <v>11604</v>
      </c>
      <c r="AK60" s="1088">
        <v>9864</v>
      </c>
      <c r="AL60" s="1089"/>
      <c r="AM60" s="1088"/>
      <c r="AN60" s="1089">
        <v>10819</v>
      </c>
      <c r="AO60" s="1088">
        <v>5560</v>
      </c>
      <c r="AP60" s="1089"/>
      <c r="AQ60" s="1088"/>
      <c r="AR60" s="1089">
        <v>7560</v>
      </c>
      <c r="AS60" s="1088">
        <v>7400</v>
      </c>
      <c r="AT60" s="1089">
        <v>24580</v>
      </c>
      <c r="AU60" s="1088">
        <v>14450</v>
      </c>
      <c r="AV60" s="1089">
        <f t="shared" si="0"/>
        <v>414963</v>
      </c>
      <c r="AW60" s="1088">
        <f t="shared" si="0"/>
        <v>390216</v>
      </c>
      <c r="AX60" s="1089"/>
      <c r="AY60" s="1088"/>
      <c r="AZ60" s="1089">
        <f t="shared" si="1"/>
        <v>414963</v>
      </c>
      <c r="BA60" s="314">
        <f t="shared" si="1"/>
        <v>390216</v>
      </c>
    </row>
    <row r="61" spans="1:53" x14ac:dyDescent="0.3">
      <c r="A61" s="68" t="s">
        <v>357</v>
      </c>
      <c r="B61" s="321"/>
      <c r="C61" s="1088"/>
      <c r="D61" s="1089"/>
      <c r="E61" s="1088"/>
      <c r="F61" s="1089"/>
      <c r="G61" s="1088"/>
      <c r="H61" s="1089"/>
      <c r="I61" s="1088"/>
      <c r="J61" s="1089"/>
      <c r="K61" s="1088"/>
      <c r="L61" s="1089"/>
      <c r="M61" s="314"/>
      <c r="N61" s="321"/>
      <c r="O61" s="314"/>
      <c r="P61" s="321"/>
      <c r="Q61" s="314"/>
      <c r="R61" s="321"/>
      <c r="S61" s="314"/>
      <c r="T61" s="321"/>
      <c r="U61" s="314"/>
      <c r="V61" s="321">
        <v>1423</v>
      </c>
      <c r="W61" s="314">
        <v>53</v>
      </c>
      <c r="X61" s="321"/>
      <c r="Y61" s="1088"/>
      <c r="Z61" s="1089"/>
      <c r="AA61" s="1088"/>
      <c r="AB61" s="1089"/>
      <c r="AC61" s="314"/>
      <c r="AD61" s="321"/>
      <c r="AE61" s="1088"/>
      <c r="AF61" s="1089"/>
      <c r="AG61" s="1088"/>
      <c r="AH61" s="1089"/>
      <c r="AI61" s="314"/>
      <c r="AJ61" s="321"/>
      <c r="AK61" s="1088"/>
      <c r="AL61" s="1089"/>
      <c r="AM61" s="1088"/>
      <c r="AN61" s="1089"/>
      <c r="AO61" s="1088"/>
      <c r="AP61" s="1089"/>
      <c r="AQ61" s="1088"/>
      <c r="AR61" s="1089"/>
      <c r="AS61" s="1088"/>
      <c r="AT61" s="1089"/>
      <c r="AU61" s="1088"/>
      <c r="AV61" s="1089">
        <f t="shared" si="0"/>
        <v>1423</v>
      </c>
      <c r="AW61" s="1088">
        <f t="shared" si="0"/>
        <v>53</v>
      </c>
      <c r="AX61" s="1089"/>
      <c r="AY61" s="1088"/>
      <c r="AZ61" s="1089">
        <f t="shared" si="1"/>
        <v>1423</v>
      </c>
      <c r="BA61" s="314">
        <f t="shared" si="1"/>
        <v>53</v>
      </c>
    </row>
    <row r="62" spans="1:53" x14ac:dyDescent="0.3">
      <c r="A62" s="68" t="s">
        <v>358</v>
      </c>
      <c r="B62" s="321">
        <v>2500</v>
      </c>
      <c r="C62" s="1088">
        <v>2500</v>
      </c>
      <c r="D62" s="1089">
        <v>2500</v>
      </c>
      <c r="E62" s="1088">
        <v>2500</v>
      </c>
      <c r="F62" s="1089"/>
      <c r="G62" s="1088"/>
      <c r="H62" s="1089"/>
      <c r="I62" s="1088"/>
      <c r="J62" s="1089"/>
      <c r="K62" s="1088"/>
      <c r="L62" s="1089">
        <v>1925</v>
      </c>
      <c r="M62" s="314">
        <v>5050</v>
      </c>
      <c r="N62" s="321"/>
      <c r="O62" s="314"/>
      <c r="P62" s="321"/>
      <c r="Q62" s="314"/>
      <c r="R62" s="321"/>
      <c r="S62" s="314"/>
      <c r="T62" s="321"/>
      <c r="U62" s="314"/>
      <c r="V62" s="321">
        <v>3457</v>
      </c>
      <c r="W62" s="314">
        <v>3503</v>
      </c>
      <c r="X62" s="321"/>
      <c r="Y62" s="1088"/>
      <c r="Z62" s="1089"/>
      <c r="AA62" s="1088"/>
      <c r="AB62" s="1089"/>
      <c r="AC62" s="314"/>
      <c r="AD62" s="321">
        <v>4358</v>
      </c>
      <c r="AE62" s="1088">
        <v>4504</v>
      </c>
      <c r="AF62" s="1089"/>
      <c r="AG62" s="1088"/>
      <c r="AH62" s="1089">
        <v>2500</v>
      </c>
      <c r="AI62" s="314">
        <v>4026</v>
      </c>
      <c r="AJ62" s="321">
        <v>1097</v>
      </c>
      <c r="AK62" s="1088">
        <v>1018</v>
      </c>
      <c r="AL62" s="1089"/>
      <c r="AM62" s="1088"/>
      <c r="AN62" s="1089"/>
      <c r="AO62" s="1088"/>
      <c r="AP62" s="1089"/>
      <c r="AQ62" s="1088"/>
      <c r="AR62" s="1089"/>
      <c r="AS62" s="1088"/>
      <c r="AT62" s="1089">
        <v>8560</v>
      </c>
      <c r="AU62" s="1088">
        <v>8560</v>
      </c>
      <c r="AV62" s="1089">
        <f t="shared" si="0"/>
        <v>26897</v>
      </c>
      <c r="AW62" s="1088">
        <f t="shared" si="0"/>
        <v>31661</v>
      </c>
      <c r="AX62" s="1089"/>
      <c r="AY62" s="1088"/>
      <c r="AZ62" s="1089">
        <f t="shared" si="1"/>
        <v>26897</v>
      </c>
      <c r="BA62" s="314">
        <f t="shared" si="1"/>
        <v>31661</v>
      </c>
    </row>
    <row r="63" spans="1:53" x14ac:dyDescent="0.3">
      <c r="A63" s="68" t="s">
        <v>359</v>
      </c>
      <c r="B63" s="321"/>
      <c r="C63" s="1088"/>
      <c r="D63" s="1089">
        <v>82052</v>
      </c>
      <c r="E63" s="1088">
        <v>82052</v>
      </c>
      <c r="F63" s="1089"/>
      <c r="G63" s="1088"/>
      <c r="H63" s="1089">
        <v>87126</v>
      </c>
      <c r="I63" s="1088"/>
      <c r="J63" s="1089"/>
      <c r="K63" s="1088"/>
      <c r="L63" s="1089">
        <v>1395722</v>
      </c>
      <c r="M63" s="314">
        <v>1474117</v>
      </c>
      <c r="N63" s="321">
        <v>89094</v>
      </c>
      <c r="O63" s="314">
        <v>124129</v>
      </c>
      <c r="P63" s="321">
        <v>35660</v>
      </c>
      <c r="Q63" s="314">
        <v>35407</v>
      </c>
      <c r="R63" s="321">
        <v>2876459</v>
      </c>
      <c r="S63" s="314">
        <v>2535645</v>
      </c>
      <c r="T63" s="321">
        <v>50227</v>
      </c>
      <c r="U63" s="314">
        <v>45773</v>
      </c>
      <c r="V63" s="321">
        <v>966503</v>
      </c>
      <c r="W63" s="314">
        <v>778932</v>
      </c>
      <c r="X63" s="321">
        <v>1536996</v>
      </c>
      <c r="Y63" s="1088">
        <v>1536996</v>
      </c>
      <c r="Z63" s="1089">
        <v>511689</v>
      </c>
      <c r="AA63" s="1088">
        <v>488973</v>
      </c>
      <c r="AB63" s="1089">
        <v>337489</v>
      </c>
      <c r="AC63" s="314">
        <v>283029</v>
      </c>
      <c r="AD63" s="321">
        <v>1448776</v>
      </c>
      <c r="AE63" s="1088">
        <v>2174758</v>
      </c>
      <c r="AF63" s="1089"/>
      <c r="AG63" s="1088"/>
      <c r="AH63" s="1089">
        <v>150627</v>
      </c>
      <c r="AI63" s="314">
        <v>150627</v>
      </c>
      <c r="AJ63" s="321">
        <v>1611323</v>
      </c>
      <c r="AK63" s="1088">
        <v>1611323</v>
      </c>
      <c r="AL63" s="1089"/>
      <c r="AM63" s="1088"/>
      <c r="AN63" s="1089"/>
      <c r="AO63" s="1088"/>
      <c r="AP63" s="1089"/>
      <c r="AQ63" s="1088"/>
      <c r="AR63" s="1089">
        <v>764333</v>
      </c>
      <c r="AS63" s="1089">
        <v>644834</v>
      </c>
      <c r="AT63" s="1089"/>
      <c r="AU63" s="1088"/>
      <c r="AV63" s="1089">
        <f t="shared" si="0"/>
        <v>11944076</v>
      </c>
      <c r="AW63" s="1088">
        <f t="shared" si="0"/>
        <v>11966595</v>
      </c>
      <c r="AX63" s="1089"/>
      <c r="AY63" s="1088"/>
      <c r="AZ63" s="1089">
        <f t="shared" si="1"/>
        <v>11944076</v>
      </c>
      <c r="BA63" s="314">
        <f t="shared" si="1"/>
        <v>11966595</v>
      </c>
    </row>
    <row r="64" spans="1:53" x14ac:dyDescent="0.3">
      <c r="A64" s="68" t="s">
        <v>360</v>
      </c>
      <c r="B64" s="321"/>
      <c r="C64" s="1088"/>
      <c r="D64" s="1089"/>
      <c r="E64" s="1088"/>
      <c r="F64" s="1089"/>
      <c r="G64" s="1088"/>
      <c r="H64" s="1089"/>
      <c r="I64" s="1088"/>
      <c r="J64" s="1089"/>
      <c r="K64" s="1088"/>
      <c r="L64" s="1089"/>
      <c r="M64" s="314"/>
      <c r="N64" s="321"/>
      <c r="O64" s="314"/>
      <c r="P64" s="321">
        <v>8864</v>
      </c>
      <c r="Q64" s="314">
        <v>3974</v>
      </c>
      <c r="R64" s="321"/>
      <c r="S64" s="314"/>
      <c r="T64" s="321"/>
      <c r="U64" s="314"/>
      <c r="V64" s="321"/>
      <c r="W64" s="314"/>
      <c r="X64" s="321"/>
      <c r="Y64" s="1088"/>
      <c r="Z64" s="1089"/>
      <c r="AA64" s="1088"/>
      <c r="AB64" s="1089"/>
      <c r="AC64" s="314"/>
      <c r="AD64" s="321"/>
      <c r="AE64" s="1088"/>
      <c r="AF64" s="1089"/>
      <c r="AG64" s="1088"/>
      <c r="AH64" s="1089"/>
      <c r="AI64" s="314"/>
      <c r="AJ64" s="321"/>
      <c r="AK64" s="1088"/>
      <c r="AL64" s="1089"/>
      <c r="AM64" s="1088"/>
      <c r="AN64" s="1089"/>
      <c r="AO64" s="1088"/>
      <c r="AP64" s="1089"/>
      <c r="AQ64" s="1088"/>
      <c r="AR64" s="1089"/>
      <c r="AS64" s="1088"/>
      <c r="AT64" s="1089"/>
      <c r="AU64" s="1088"/>
      <c r="AV64" s="1089">
        <f t="shared" si="0"/>
        <v>8864</v>
      </c>
      <c r="AW64" s="1088">
        <f t="shared" si="0"/>
        <v>3974</v>
      </c>
      <c r="AX64" s="1089"/>
      <c r="AY64" s="1088"/>
      <c r="AZ64" s="1089">
        <f t="shared" si="1"/>
        <v>8864</v>
      </c>
      <c r="BA64" s="314">
        <f t="shared" si="1"/>
        <v>3974</v>
      </c>
    </row>
    <row r="65" spans="1:53" x14ac:dyDescent="0.3">
      <c r="A65" s="68" t="s">
        <v>361</v>
      </c>
      <c r="B65" s="321"/>
      <c r="C65" s="1088"/>
      <c r="D65" s="1089">
        <v>63720</v>
      </c>
      <c r="E65" s="1088">
        <v>63710</v>
      </c>
      <c r="F65" s="1089">
        <v>233099</v>
      </c>
      <c r="G65" s="1088"/>
      <c r="H65" s="1089">
        <v>474816</v>
      </c>
      <c r="I65" s="1088">
        <v>520410</v>
      </c>
      <c r="J65" s="1089"/>
      <c r="K65" s="1088"/>
      <c r="L65" s="1089"/>
      <c r="M65" s="314"/>
      <c r="N65" s="321"/>
      <c r="O65" s="314"/>
      <c r="P65" s="321"/>
      <c r="Q65" s="314"/>
      <c r="R65" s="321"/>
      <c r="S65" s="314"/>
      <c r="T65" s="321">
        <v>1730</v>
      </c>
      <c r="U65" s="314">
        <v>49173</v>
      </c>
      <c r="V65" s="321"/>
      <c r="W65" s="314"/>
      <c r="X65" s="321">
        <f>64256</f>
        <v>64256</v>
      </c>
      <c r="Y65" s="1088">
        <v>65930</v>
      </c>
      <c r="Z65" s="1089"/>
      <c r="AA65" s="1088"/>
      <c r="AB65" s="1089">
        <v>350606</v>
      </c>
      <c r="AC65" s="314">
        <v>374200</v>
      </c>
      <c r="AD65" s="321"/>
      <c r="AE65" s="1088"/>
      <c r="AF65" s="1089"/>
      <c r="AG65" s="1088"/>
      <c r="AH65" s="1089">
        <v>390701</v>
      </c>
      <c r="AI65" s="314">
        <v>474509</v>
      </c>
      <c r="AJ65" s="321"/>
      <c r="AK65" s="1088"/>
      <c r="AL65" s="1089"/>
      <c r="AM65" s="1088"/>
      <c r="AN65" s="1089"/>
      <c r="AO65" s="1088"/>
      <c r="AP65" s="1089"/>
      <c r="AQ65" s="1088"/>
      <c r="AR65" s="1089"/>
      <c r="AS65" s="1088"/>
      <c r="AT65" s="1089"/>
      <c r="AU65" s="1088"/>
      <c r="AV65" s="1089">
        <f t="shared" si="0"/>
        <v>1578928</v>
      </c>
      <c r="AW65" s="1088">
        <f t="shared" si="0"/>
        <v>1547932</v>
      </c>
      <c r="AX65" s="1089"/>
      <c r="AY65" s="1088"/>
      <c r="AZ65" s="1089">
        <f t="shared" si="1"/>
        <v>1578928</v>
      </c>
      <c r="BA65" s="314">
        <f t="shared" si="1"/>
        <v>1547932</v>
      </c>
    </row>
    <row r="66" spans="1:53" x14ac:dyDescent="0.3">
      <c r="A66" s="68" t="s">
        <v>75</v>
      </c>
      <c r="B66" s="321">
        <v>430138</v>
      </c>
      <c r="C66" s="1088">
        <v>434553</v>
      </c>
      <c r="D66" s="1089">
        <v>1928</v>
      </c>
      <c r="E66" s="1088">
        <v>1928</v>
      </c>
      <c r="F66" s="1089"/>
      <c r="G66" s="1088"/>
      <c r="H66" s="1089">
        <v>67014</v>
      </c>
      <c r="I66" s="1088">
        <v>53042</v>
      </c>
      <c r="J66" s="1089"/>
      <c r="K66" s="1088"/>
      <c r="L66" s="1089"/>
      <c r="M66" s="314"/>
      <c r="N66" s="321">
        <f>8115+110243</f>
        <v>118358</v>
      </c>
      <c r="O66" s="314">
        <f>8115+137691</f>
        <v>145806</v>
      </c>
      <c r="P66" s="321"/>
      <c r="Q66" s="314"/>
      <c r="R66" s="321">
        <f>273375+608679</f>
        <v>882054</v>
      </c>
      <c r="S66" s="314">
        <f>261587+695547</f>
        <v>957134</v>
      </c>
      <c r="T66" s="321"/>
      <c r="U66" s="314">
        <v>911111</v>
      </c>
      <c r="V66" s="321">
        <v>336941</v>
      </c>
      <c r="W66" s="314">
        <v>388354</v>
      </c>
      <c r="X66" s="321">
        <v>420338</v>
      </c>
      <c r="Y66" s="1088">
        <v>597839</v>
      </c>
      <c r="Z66" s="1089">
        <v>135118</v>
      </c>
      <c r="AA66" s="1088">
        <v>140803</v>
      </c>
      <c r="AB66" s="1089"/>
      <c r="AC66" s="314"/>
      <c r="AD66" s="321">
        <v>105117</v>
      </c>
      <c r="AE66" s="1088">
        <v>127160</v>
      </c>
      <c r="AF66" s="1089"/>
      <c r="AG66" s="1088"/>
      <c r="AH66" s="1089"/>
      <c r="AI66" s="314"/>
      <c r="AJ66" s="321">
        <v>3322228</v>
      </c>
      <c r="AK66" s="1088">
        <v>305687</v>
      </c>
      <c r="AL66" s="1089"/>
      <c r="AM66" s="1088"/>
      <c r="AN66" s="1089">
        <f>1141109+3760253</f>
        <v>4901362</v>
      </c>
      <c r="AO66" s="1088">
        <f>1523669+1081284</f>
        <v>2604953</v>
      </c>
      <c r="AP66" s="1089">
        <v>64365</v>
      </c>
      <c r="AQ66" s="1088">
        <v>60728</v>
      </c>
      <c r="AR66" s="1089">
        <f>103277+18450</f>
        <v>121727</v>
      </c>
      <c r="AS66" s="1089">
        <f>65299+19873</f>
        <v>85172</v>
      </c>
      <c r="AT66" s="1089">
        <f>1908+30003+102299</f>
        <v>134210</v>
      </c>
      <c r="AU66" s="1088">
        <f>4991+28073+143266</f>
        <v>176330</v>
      </c>
      <c r="AV66" s="1089">
        <f t="shared" si="0"/>
        <v>11040898</v>
      </c>
      <c r="AW66" s="1088">
        <f t="shared" si="0"/>
        <v>6990600</v>
      </c>
      <c r="AX66" s="1089"/>
      <c r="AY66" s="1088"/>
      <c r="AZ66" s="1089">
        <f t="shared" si="1"/>
        <v>11040898</v>
      </c>
      <c r="BA66" s="314">
        <f t="shared" si="1"/>
        <v>6990600</v>
      </c>
    </row>
    <row r="67" spans="1:53" s="1101" customFormat="1" ht="18.75" thickBot="1" x14ac:dyDescent="0.4">
      <c r="A67" s="1102" t="s">
        <v>54</v>
      </c>
      <c r="B67" s="1103"/>
      <c r="C67" s="1104"/>
      <c r="D67" s="1105">
        <v>150200</v>
      </c>
      <c r="E67" s="1104">
        <v>150190</v>
      </c>
      <c r="F67" s="1105"/>
      <c r="G67" s="1104"/>
      <c r="H67" s="1105">
        <v>628955</v>
      </c>
      <c r="I67" s="1104">
        <v>573451</v>
      </c>
      <c r="J67" s="1105"/>
      <c r="K67" s="1104"/>
      <c r="L67" s="1105">
        <v>1590829</v>
      </c>
      <c r="M67" s="1106">
        <v>1733189</v>
      </c>
      <c r="N67" s="1103">
        <v>209702</v>
      </c>
      <c r="O67" s="1106">
        <v>272451</v>
      </c>
      <c r="P67" s="1103"/>
      <c r="Q67" s="1106"/>
      <c r="R67" s="1103">
        <v>3758513</v>
      </c>
      <c r="S67" s="1106">
        <v>3792779</v>
      </c>
      <c r="T67" s="1103">
        <v>67062</v>
      </c>
      <c r="U67" s="1106">
        <v>1018550</v>
      </c>
      <c r="V67" s="1103">
        <v>24081860</v>
      </c>
      <c r="W67" s="1106">
        <v>21093815</v>
      </c>
      <c r="X67" s="1103">
        <v>8074468</v>
      </c>
      <c r="Y67" s="1104">
        <v>13949049</v>
      </c>
      <c r="Z67" s="1105">
        <v>646807</v>
      </c>
      <c r="AA67" s="1104">
        <v>629776</v>
      </c>
      <c r="AB67" s="1105"/>
      <c r="AC67" s="1106"/>
      <c r="AD67" s="1103">
        <v>5472541</v>
      </c>
      <c r="AE67" s="1104">
        <v>5370118</v>
      </c>
      <c r="AF67" s="1105"/>
      <c r="AG67" s="1104"/>
      <c r="AH67" s="1105">
        <v>5748219</v>
      </c>
      <c r="AI67" s="1106">
        <v>4485573</v>
      </c>
      <c r="AJ67" s="1103">
        <v>2262432</v>
      </c>
      <c r="AK67" s="1104">
        <v>2239140</v>
      </c>
      <c r="AL67" s="1105"/>
      <c r="AM67" s="1104"/>
      <c r="AN67" s="1105">
        <v>15512181</v>
      </c>
      <c r="AO67" s="1104">
        <v>16510513</v>
      </c>
      <c r="AP67" s="1105">
        <v>64365</v>
      </c>
      <c r="AQ67" s="1104">
        <v>60728</v>
      </c>
      <c r="AR67" s="1105"/>
      <c r="AS67" s="1104"/>
      <c r="AT67" s="1105">
        <v>167350</v>
      </c>
      <c r="AU67" s="1104">
        <v>199340</v>
      </c>
      <c r="AV67" s="1105">
        <f t="shared" si="0"/>
        <v>68435484</v>
      </c>
      <c r="AW67" s="1104">
        <f t="shared" si="0"/>
        <v>72078662</v>
      </c>
      <c r="AX67" s="1105"/>
      <c r="AY67" s="1104"/>
      <c r="AZ67" s="1105">
        <f t="shared" si="1"/>
        <v>68435484</v>
      </c>
      <c r="BA67" s="1106">
        <f t="shared" si="1"/>
        <v>72078662</v>
      </c>
    </row>
  </sheetData>
  <mergeCells count="26"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X1:AY1"/>
    <mergeCell ref="AZ1:BA1"/>
    <mergeCell ref="AL1:AM1"/>
    <mergeCell ref="AN1:AO1"/>
    <mergeCell ref="AP1:AQ1"/>
    <mergeCell ref="AR1:AS1"/>
    <mergeCell ref="AT1:AU1"/>
    <mergeCell ref="AV1:AW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BA14"/>
  <sheetViews>
    <sheetView workbookViewId="0">
      <pane xSplit="1" topLeftCell="B1" activePane="topRight" state="frozen"/>
      <selection pane="topRight" activeCell="Z10" sqref="Z10"/>
    </sheetView>
  </sheetViews>
  <sheetFormatPr defaultRowHeight="15" x14ac:dyDescent="0.25"/>
  <cols>
    <col min="1" max="1" width="30.42578125" bestFit="1" customWidth="1"/>
    <col min="2" max="8" width="12.85546875" bestFit="1" customWidth="1"/>
    <col min="9" max="9" width="12.42578125" bestFit="1" customWidth="1"/>
    <col min="10" max="10" width="12.85546875" bestFit="1" customWidth="1"/>
    <col min="11" max="11" width="12.42578125" bestFit="1" customWidth="1"/>
    <col min="12" max="12" width="12.85546875" bestFit="1" customWidth="1"/>
    <col min="13" max="13" width="12.42578125" bestFit="1" customWidth="1"/>
    <col min="14" max="14" width="12.85546875" bestFit="1" customWidth="1"/>
    <col min="15" max="15" width="10.5703125" customWidth="1"/>
    <col min="16" max="16" width="12.85546875" bestFit="1" customWidth="1"/>
    <col min="17" max="17" width="11.42578125" customWidth="1"/>
    <col min="18" max="18" width="12.85546875" bestFit="1" customWidth="1"/>
    <col min="19" max="19" width="11.42578125" customWidth="1"/>
    <col min="20" max="20" width="12.85546875" bestFit="1" customWidth="1"/>
    <col min="21" max="21" width="11.5703125" customWidth="1"/>
    <col min="22" max="22" width="12.85546875" bestFit="1" customWidth="1"/>
    <col min="23" max="23" width="12.42578125" bestFit="1" customWidth="1"/>
    <col min="24" max="24" width="12.85546875" bestFit="1" customWidth="1"/>
    <col min="25" max="25" width="10.7109375" customWidth="1"/>
    <col min="26" max="26" width="12.85546875" bestFit="1" customWidth="1"/>
    <col min="27" max="27" width="10.42578125" customWidth="1"/>
    <col min="28" max="28" width="12.85546875" bestFit="1" customWidth="1"/>
    <col min="29" max="29" width="12.42578125" bestFit="1" customWidth="1"/>
    <col min="30" max="30" width="12.85546875" bestFit="1" customWidth="1"/>
    <col min="31" max="31" width="12.42578125" bestFit="1" customWidth="1"/>
    <col min="32" max="32" width="12.85546875" bestFit="1" customWidth="1"/>
    <col min="33" max="33" width="11.140625" customWidth="1"/>
    <col min="34" max="34" width="12.85546875" bestFit="1" customWidth="1"/>
    <col min="35" max="35" width="12.42578125" bestFit="1" customWidth="1"/>
    <col min="36" max="36" width="12.85546875" bestFit="1" customWidth="1"/>
    <col min="37" max="37" width="12.42578125" bestFit="1" customWidth="1"/>
    <col min="38" max="38" width="12.85546875" bestFit="1" customWidth="1"/>
    <col min="39" max="39" width="12.42578125" bestFit="1" customWidth="1"/>
    <col min="40" max="40" width="12.85546875" bestFit="1" customWidth="1"/>
    <col min="41" max="41" width="12.42578125" bestFit="1" customWidth="1"/>
    <col min="42" max="42" width="12.85546875" bestFit="1" customWidth="1"/>
    <col min="43" max="43" width="12.42578125" bestFit="1" customWidth="1"/>
    <col min="44" max="44" width="12.85546875" bestFit="1" customWidth="1"/>
    <col min="45" max="45" width="12.42578125" bestFit="1" customWidth="1"/>
    <col min="46" max="50" width="12.85546875" bestFit="1" customWidth="1"/>
    <col min="51" max="51" width="12.42578125" bestFit="1" customWidth="1"/>
    <col min="52" max="52" width="13.140625" customWidth="1"/>
    <col min="53" max="53" width="12.85546875" bestFit="1" customWidth="1"/>
    <col min="54" max="54" width="10.7109375" customWidth="1"/>
    <col min="55" max="55" width="12" customWidth="1"/>
  </cols>
  <sheetData>
    <row r="1" spans="1:53" s="67" customFormat="1" ht="18" x14ac:dyDescent="0.35">
      <c r="A1" s="1179" t="s">
        <v>58</v>
      </c>
      <c r="B1" s="1179"/>
      <c r="C1" s="1179"/>
      <c r="D1" s="1179"/>
      <c r="E1" s="1179"/>
      <c r="F1" s="1179"/>
      <c r="G1" s="1179"/>
      <c r="H1" s="1179"/>
      <c r="I1" s="1179"/>
      <c r="J1" s="1179"/>
      <c r="K1" s="1179"/>
      <c r="L1" s="1179"/>
      <c r="M1" s="1179"/>
      <c r="N1" s="1179"/>
      <c r="O1" s="1179"/>
      <c r="P1" s="1179"/>
      <c r="Q1" s="1179"/>
      <c r="R1" s="1179"/>
      <c r="S1" s="1179"/>
      <c r="T1" s="1179"/>
      <c r="U1" s="1179"/>
      <c r="V1" s="1179"/>
      <c r="W1" s="1179"/>
      <c r="X1" s="1179"/>
      <c r="Y1" s="1179"/>
      <c r="Z1" s="1179"/>
      <c r="AA1" s="1179"/>
      <c r="AB1" s="1179"/>
      <c r="AC1" s="1179"/>
      <c r="AD1" s="1179"/>
      <c r="AE1" s="1179"/>
      <c r="AF1" s="1179"/>
      <c r="AG1" s="1179"/>
      <c r="AH1" s="1179"/>
      <c r="AI1" s="1179"/>
      <c r="AJ1" s="1179"/>
      <c r="AK1" s="1179"/>
      <c r="AL1" s="1179"/>
      <c r="AM1" s="1179"/>
      <c r="AN1" s="1179"/>
      <c r="AO1" s="1179"/>
      <c r="AP1" s="1179"/>
      <c r="AQ1" s="1179"/>
      <c r="AR1" s="1179"/>
      <c r="AS1" s="1179"/>
      <c r="AT1" s="1179"/>
      <c r="AU1" s="1179"/>
      <c r="AV1" s="1179"/>
      <c r="AW1" s="1179"/>
      <c r="AX1" s="1179"/>
      <c r="AY1" s="1179"/>
      <c r="AZ1" s="1179"/>
    </row>
    <row r="2" spans="1:53" s="364" customFormat="1" ht="18" thickBot="1" x14ac:dyDescent="0.4">
      <c r="A2" s="1218" t="s">
        <v>59</v>
      </c>
      <c r="B2" s="1218"/>
      <c r="C2" s="1218"/>
      <c r="D2" s="1218"/>
      <c r="E2" s="1218"/>
      <c r="F2" s="1218"/>
      <c r="G2" s="1218"/>
      <c r="H2" s="1218"/>
      <c r="I2" s="1218"/>
      <c r="J2" s="1218"/>
      <c r="K2" s="1218"/>
      <c r="L2" s="1218"/>
      <c r="M2" s="1218"/>
      <c r="N2" s="1218"/>
      <c r="O2" s="1218"/>
      <c r="P2" s="1218"/>
      <c r="Q2" s="1218"/>
      <c r="R2" s="1218"/>
      <c r="S2" s="1218"/>
      <c r="T2" s="1218"/>
      <c r="U2" s="1218"/>
      <c r="V2" s="1218"/>
      <c r="W2" s="1218"/>
      <c r="X2" s="1218"/>
      <c r="Y2" s="1218"/>
      <c r="Z2" s="1218"/>
      <c r="AA2" s="1218"/>
      <c r="AB2" s="1218"/>
      <c r="AC2" s="1218"/>
      <c r="AD2" s="1218"/>
      <c r="AE2" s="1218"/>
      <c r="AF2" s="1218"/>
      <c r="AG2" s="1218"/>
      <c r="AH2" s="1218"/>
      <c r="AI2" s="1218"/>
      <c r="AJ2" s="1218"/>
      <c r="AK2" s="1218"/>
      <c r="AL2" s="1218"/>
      <c r="AM2" s="1218"/>
      <c r="AN2" s="1218"/>
      <c r="AO2" s="1218"/>
      <c r="AP2" s="1218"/>
      <c r="AQ2" s="1218"/>
      <c r="AR2" s="1218"/>
      <c r="AS2" s="1218"/>
      <c r="AT2" s="1218"/>
      <c r="AU2" s="1218"/>
      <c r="AV2" s="1218"/>
      <c r="AW2" s="1218"/>
      <c r="AX2" s="1218"/>
      <c r="AY2" s="1218"/>
      <c r="AZ2" s="1218"/>
    </row>
    <row r="3" spans="1:53" s="67" customFormat="1" ht="30.75" customHeight="1" x14ac:dyDescent="0.3">
      <c r="A3" s="1219" t="s">
        <v>0</v>
      </c>
      <c r="B3" s="1221" t="s">
        <v>153</v>
      </c>
      <c r="C3" s="1222"/>
      <c r="D3" s="1223" t="s">
        <v>154</v>
      </c>
      <c r="E3" s="1223"/>
      <c r="F3" s="1221" t="s">
        <v>155</v>
      </c>
      <c r="G3" s="1222"/>
      <c r="H3" s="1221" t="s">
        <v>156</v>
      </c>
      <c r="I3" s="1222"/>
      <c r="J3" s="1221" t="s">
        <v>157</v>
      </c>
      <c r="K3" s="1222"/>
      <c r="L3" s="1223" t="s">
        <v>158</v>
      </c>
      <c r="M3" s="1223"/>
      <c r="N3" s="1221" t="s">
        <v>291</v>
      </c>
      <c r="O3" s="1222"/>
      <c r="P3" s="1221" t="s">
        <v>159</v>
      </c>
      <c r="Q3" s="1222"/>
      <c r="R3" s="1221" t="s">
        <v>160</v>
      </c>
      <c r="S3" s="1222"/>
      <c r="T3" s="1223" t="s">
        <v>161</v>
      </c>
      <c r="U3" s="1223"/>
      <c r="V3" s="1221" t="s">
        <v>162</v>
      </c>
      <c r="W3" s="1222"/>
      <c r="X3" s="1221" t="s">
        <v>163</v>
      </c>
      <c r="Y3" s="1223"/>
      <c r="Z3" s="1221" t="s">
        <v>164</v>
      </c>
      <c r="AA3" s="1222"/>
      <c r="AB3" s="1221" t="s">
        <v>165</v>
      </c>
      <c r="AC3" s="1223"/>
      <c r="AD3" s="1224" t="s">
        <v>166</v>
      </c>
      <c r="AE3" s="1225"/>
      <c r="AF3" s="1221" t="s">
        <v>167</v>
      </c>
      <c r="AG3" s="1222"/>
      <c r="AH3" s="1221" t="s">
        <v>168</v>
      </c>
      <c r="AI3" s="1222"/>
      <c r="AJ3" s="1221" t="s">
        <v>169</v>
      </c>
      <c r="AK3" s="1223"/>
      <c r="AL3" s="1224" t="s">
        <v>170</v>
      </c>
      <c r="AM3" s="1225"/>
      <c r="AN3" s="1221" t="s">
        <v>171</v>
      </c>
      <c r="AO3" s="1222"/>
      <c r="AP3" s="1221" t="s">
        <v>172</v>
      </c>
      <c r="AQ3" s="1222"/>
      <c r="AR3" s="1221" t="s">
        <v>173</v>
      </c>
      <c r="AS3" s="1222"/>
      <c r="AT3" s="1221" t="s">
        <v>174</v>
      </c>
      <c r="AU3" s="1222"/>
      <c r="AV3" s="1221" t="s">
        <v>1</v>
      </c>
      <c r="AW3" s="1223"/>
      <c r="AX3" s="1224" t="s">
        <v>175</v>
      </c>
      <c r="AY3" s="1225"/>
      <c r="AZ3" s="1224" t="s">
        <v>2</v>
      </c>
      <c r="BA3" s="1225"/>
    </row>
    <row r="4" spans="1:53" s="367" customFormat="1" ht="15.75" thickBot="1" x14ac:dyDescent="0.3">
      <c r="A4" s="1220"/>
      <c r="B4" s="365" t="s">
        <v>290</v>
      </c>
      <c r="C4" s="363" t="s">
        <v>279</v>
      </c>
      <c r="D4" s="366" t="s">
        <v>290</v>
      </c>
      <c r="E4" s="366" t="s">
        <v>279</v>
      </c>
      <c r="F4" s="365" t="s">
        <v>290</v>
      </c>
      <c r="G4" s="363" t="s">
        <v>279</v>
      </c>
      <c r="H4" s="365" t="s">
        <v>290</v>
      </c>
      <c r="I4" s="363" t="s">
        <v>279</v>
      </c>
      <c r="J4" s="365" t="s">
        <v>290</v>
      </c>
      <c r="K4" s="363" t="s">
        <v>279</v>
      </c>
      <c r="L4" s="366" t="s">
        <v>290</v>
      </c>
      <c r="M4" s="366" t="s">
        <v>279</v>
      </c>
      <c r="N4" s="365" t="s">
        <v>290</v>
      </c>
      <c r="O4" s="363" t="s">
        <v>279</v>
      </c>
      <c r="P4" s="366" t="s">
        <v>290</v>
      </c>
      <c r="Q4" s="366" t="s">
        <v>279</v>
      </c>
      <c r="R4" s="365" t="s">
        <v>290</v>
      </c>
      <c r="S4" s="363" t="s">
        <v>279</v>
      </c>
      <c r="T4" s="365" t="s">
        <v>290</v>
      </c>
      <c r="U4" s="363" t="s">
        <v>279</v>
      </c>
      <c r="V4" s="365" t="s">
        <v>290</v>
      </c>
      <c r="W4" s="363" t="s">
        <v>279</v>
      </c>
      <c r="X4" s="366" t="s">
        <v>290</v>
      </c>
      <c r="Y4" s="366" t="s">
        <v>279</v>
      </c>
      <c r="Z4" s="365" t="s">
        <v>290</v>
      </c>
      <c r="AA4" s="363" t="s">
        <v>279</v>
      </c>
      <c r="AB4" s="366" t="s">
        <v>290</v>
      </c>
      <c r="AC4" s="366" t="s">
        <v>279</v>
      </c>
      <c r="AD4" s="365" t="s">
        <v>290</v>
      </c>
      <c r="AE4" s="363" t="s">
        <v>279</v>
      </c>
      <c r="AF4" s="365" t="s">
        <v>290</v>
      </c>
      <c r="AG4" s="363" t="s">
        <v>279</v>
      </c>
      <c r="AH4" s="365" t="s">
        <v>290</v>
      </c>
      <c r="AI4" s="363" t="s">
        <v>279</v>
      </c>
      <c r="AJ4" s="366" t="s">
        <v>290</v>
      </c>
      <c r="AK4" s="366" t="s">
        <v>279</v>
      </c>
      <c r="AL4" s="365" t="s">
        <v>290</v>
      </c>
      <c r="AM4" s="363" t="s">
        <v>279</v>
      </c>
      <c r="AN4" s="366" t="s">
        <v>290</v>
      </c>
      <c r="AO4" s="366" t="s">
        <v>279</v>
      </c>
      <c r="AP4" s="365" t="s">
        <v>290</v>
      </c>
      <c r="AQ4" s="363" t="s">
        <v>279</v>
      </c>
      <c r="AR4" s="365" t="s">
        <v>290</v>
      </c>
      <c r="AS4" s="363" t="s">
        <v>279</v>
      </c>
      <c r="AT4" s="365" t="s">
        <v>290</v>
      </c>
      <c r="AU4" s="363" t="s">
        <v>279</v>
      </c>
      <c r="AV4" s="366" t="s">
        <v>290</v>
      </c>
      <c r="AW4" s="366" t="s">
        <v>279</v>
      </c>
      <c r="AX4" s="899" t="s">
        <v>290</v>
      </c>
      <c r="AY4" s="363" t="s">
        <v>279</v>
      </c>
      <c r="AZ4" s="899" t="s">
        <v>290</v>
      </c>
      <c r="BA4" s="363" t="s">
        <v>279</v>
      </c>
    </row>
    <row r="5" spans="1:53" s="71" customFormat="1" ht="14.25" x14ac:dyDescent="0.25">
      <c r="A5" s="276" t="s">
        <v>21</v>
      </c>
      <c r="B5" s="137"/>
      <c r="C5" s="139"/>
      <c r="D5" s="140"/>
      <c r="E5" s="144"/>
      <c r="F5" s="137"/>
      <c r="G5" s="139"/>
      <c r="H5" s="137"/>
      <c r="I5" s="139"/>
      <c r="J5" s="137"/>
      <c r="K5" s="139"/>
      <c r="L5" s="140"/>
      <c r="M5" s="144"/>
      <c r="N5" s="137"/>
      <c r="O5" s="139"/>
      <c r="P5" s="137"/>
      <c r="Q5" s="139"/>
      <c r="R5" s="137"/>
      <c r="S5" s="139"/>
      <c r="T5" s="140"/>
      <c r="U5" s="144"/>
      <c r="V5" s="145"/>
      <c r="W5" s="141"/>
      <c r="X5" s="176"/>
      <c r="Y5" s="886"/>
      <c r="Z5" s="175"/>
      <c r="AA5" s="177"/>
      <c r="AB5" s="138"/>
      <c r="AC5" s="144"/>
      <c r="AD5" s="137"/>
      <c r="AE5" s="139"/>
      <c r="AF5" s="175"/>
      <c r="AG5" s="177"/>
      <c r="AH5" s="175"/>
      <c r="AI5" s="177"/>
      <c r="AJ5" s="138"/>
      <c r="AK5" s="144"/>
      <c r="AL5" s="175"/>
      <c r="AM5" s="177"/>
      <c r="AN5" s="175"/>
      <c r="AO5" s="177"/>
      <c r="AP5" s="137"/>
      <c r="AQ5" s="139"/>
      <c r="AR5" s="175"/>
      <c r="AS5" s="177"/>
      <c r="AT5" s="175"/>
      <c r="AU5" s="177"/>
      <c r="AV5" s="175"/>
      <c r="AW5" s="886"/>
      <c r="AX5" s="137"/>
      <c r="AY5" s="139"/>
      <c r="AZ5" s="137"/>
      <c r="BA5" s="277"/>
    </row>
    <row r="6" spans="1:53" s="71" customFormat="1" ht="14.25" x14ac:dyDescent="0.3">
      <c r="A6" s="68" t="s">
        <v>22</v>
      </c>
      <c r="B6" s="102"/>
      <c r="C6" s="72"/>
      <c r="D6" s="103"/>
      <c r="E6" s="76"/>
      <c r="F6" s="73"/>
      <c r="G6" s="75"/>
      <c r="H6" s="73"/>
      <c r="I6" s="75"/>
      <c r="J6" s="73"/>
      <c r="K6" s="75"/>
      <c r="L6" s="103"/>
      <c r="M6" s="76"/>
      <c r="N6" s="73"/>
      <c r="O6" s="75"/>
      <c r="P6" s="73"/>
      <c r="Q6" s="75"/>
      <c r="R6" s="73"/>
      <c r="S6" s="75"/>
      <c r="T6" s="103"/>
      <c r="U6" s="76"/>
      <c r="V6" s="77"/>
      <c r="W6" s="79"/>
      <c r="X6" s="74"/>
      <c r="Y6" s="76"/>
      <c r="Z6" s="80"/>
      <c r="AA6" s="81"/>
      <c r="AB6" s="74"/>
      <c r="AC6" s="76"/>
      <c r="AD6" s="73"/>
      <c r="AE6" s="75"/>
      <c r="AF6" s="73"/>
      <c r="AG6" s="75"/>
      <c r="AH6" s="73"/>
      <c r="AI6" s="75"/>
      <c r="AJ6" s="74"/>
      <c r="AK6" s="76"/>
      <c r="AL6" s="73"/>
      <c r="AM6" s="75"/>
      <c r="AN6" s="891"/>
      <c r="AO6" s="70"/>
      <c r="AP6" s="895"/>
      <c r="AQ6" s="628"/>
      <c r="AR6" s="903"/>
      <c r="AS6" s="629"/>
      <c r="AT6" s="73"/>
      <c r="AU6" s="75"/>
      <c r="AV6" s="82"/>
      <c r="AW6" s="83"/>
      <c r="AX6" s="903"/>
      <c r="AY6" s="629"/>
      <c r="AZ6" s="82"/>
      <c r="BA6" s="75"/>
    </row>
    <row r="7" spans="1:53" s="71" customFormat="1" ht="14.25" x14ac:dyDescent="0.3">
      <c r="A7" s="272" t="s">
        <v>23</v>
      </c>
      <c r="B7" s="278">
        <v>7925735</v>
      </c>
      <c r="C7" s="86">
        <v>7272760</v>
      </c>
      <c r="D7" s="104">
        <v>292884</v>
      </c>
      <c r="E7" s="87">
        <v>426931</v>
      </c>
      <c r="F7" s="77"/>
      <c r="G7" s="79">
        <v>899018</v>
      </c>
      <c r="H7" s="77">
        <v>8632419</v>
      </c>
      <c r="I7" s="79">
        <v>7794269</v>
      </c>
      <c r="J7" s="77">
        <v>2019230</v>
      </c>
      <c r="K7" s="79">
        <v>2702057</v>
      </c>
      <c r="L7" s="104">
        <v>2895903</v>
      </c>
      <c r="M7" s="87">
        <v>4316792</v>
      </c>
      <c r="N7" s="77">
        <v>560711</v>
      </c>
      <c r="O7" s="79">
        <v>785723</v>
      </c>
      <c r="P7" s="77">
        <v>1533595</v>
      </c>
      <c r="Q7" s="79">
        <v>1388641</v>
      </c>
      <c r="R7" s="77">
        <v>2307616</v>
      </c>
      <c r="S7" s="79">
        <v>3195465</v>
      </c>
      <c r="T7" s="104">
        <v>1394206</v>
      </c>
      <c r="U7" s="87">
        <v>3216293</v>
      </c>
      <c r="V7" s="77">
        <v>26969782</v>
      </c>
      <c r="W7" s="79">
        <v>27793010</v>
      </c>
      <c r="X7" s="78">
        <v>17973835</v>
      </c>
      <c r="Y7" s="87">
        <v>29882948</v>
      </c>
      <c r="Z7" s="888">
        <v>823133</v>
      </c>
      <c r="AA7" s="91">
        <v>1343936</v>
      </c>
      <c r="AB7" s="74">
        <v>2790882</v>
      </c>
      <c r="AC7" s="76">
        <v>3238729</v>
      </c>
      <c r="AD7" s="77">
        <v>10040096</v>
      </c>
      <c r="AE7" s="79">
        <v>12259743</v>
      </c>
      <c r="AF7" s="77">
        <v>17486255</v>
      </c>
      <c r="AG7" s="75">
        <v>16988663</v>
      </c>
      <c r="AH7" s="77">
        <v>5208384</v>
      </c>
      <c r="AI7" s="79">
        <v>5973523</v>
      </c>
      <c r="AJ7" s="78">
        <v>3628036</v>
      </c>
      <c r="AK7" s="87">
        <v>4339155</v>
      </c>
      <c r="AL7" s="73"/>
      <c r="AM7" s="75"/>
      <c r="AN7" s="892">
        <v>34012784</v>
      </c>
      <c r="AO7" s="567">
        <v>41923884</v>
      </c>
      <c r="AP7" s="382">
        <v>1873512</v>
      </c>
      <c r="AQ7" s="619">
        <v>1995801</v>
      </c>
      <c r="AR7" s="92">
        <v>2782725</v>
      </c>
      <c r="AS7" s="94">
        <v>2522743</v>
      </c>
      <c r="AT7" s="77">
        <v>12896185</v>
      </c>
      <c r="AU7" s="79">
        <v>10786262</v>
      </c>
      <c r="AV7" s="95">
        <f t="shared" ref="AV7:AW10" si="0">SUM(B7+D7+F7+H7+J7+L7+N7+P7+R7+T7+V7+X7+Z7+AB7+AD7+AF7+AH7+AJ7+AL7+AN7+AP7+AR7+AT7)</f>
        <v>164047908</v>
      </c>
      <c r="AW7" s="100">
        <f t="shared" si="0"/>
        <v>191046346</v>
      </c>
      <c r="AX7" s="92"/>
      <c r="AY7" s="94">
        <v>317143495</v>
      </c>
      <c r="AZ7" s="95">
        <f t="shared" ref="AZ7:BA10" si="1">AV7+AX7</f>
        <v>164047908</v>
      </c>
      <c r="BA7" s="96">
        <f t="shared" si="1"/>
        <v>508189841</v>
      </c>
    </row>
    <row r="8" spans="1:53" s="71" customFormat="1" ht="14.25" x14ac:dyDescent="0.3">
      <c r="A8" s="272" t="s">
        <v>24</v>
      </c>
      <c r="B8" s="278">
        <v>19836068</v>
      </c>
      <c r="C8" s="86">
        <v>16611643</v>
      </c>
      <c r="D8" s="104">
        <v>2016363</v>
      </c>
      <c r="E8" s="87">
        <v>1944341</v>
      </c>
      <c r="F8" s="77"/>
      <c r="G8" s="79">
        <v>3975457</v>
      </c>
      <c r="H8" s="77">
        <v>22625201</v>
      </c>
      <c r="I8" s="79">
        <v>18232025</v>
      </c>
      <c r="J8" s="77">
        <v>5944955</v>
      </c>
      <c r="K8" s="79">
        <v>5412405</v>
      </c>
      <c r="L8" s="104">
        <v>12130561</v>
      </c>
      <c r="M8" s="87">
        <v>10329821</v>
      </c>
      <c r="N8" s="77">
        <v>3540118</v>
      </c>
      <c r="O8" s="79">
        <v>3300007</v>
      </c>
      <c r="P8" s="77">
        <v>2892620</v>
      </c>
      <c r="Q8" s="79">
        <v>2413283</v>
      </c>
      <c r="R8" s="77">
        <v>10504239</v>
      </c>
      <c r="S8" s="79">
        <v>9778444</v>
      </c>
      <c r="T8" s="104">
        <v>2733980</v>
      </c>
      <c r="U8" s="87">
        <v>2298851</v>
      </c>
      <c r="V8" s="77">
        <v>75494871</v>
      </c>
      <c r="W8" s="79">
        <v>61766433</v>
      </c>
      <c r="X8" s="78">
        <v>99140253</v>
      </c>
      <c r="Y8" s="87">
        <v>92824970</v>
      </c>
      <c r="Z8" s="888">
        <v>5535628</v>
      </c>
      <c r="AA8" s="91">
        <v>5373107</v>
      </c>
      <c r="AB8" s="74">
        <v>7175790</v>
      </c>
      <c r="AC8" s="76">
        <v>5234527</v>
      </c>
      <c r="AD8" s="77">
        <v>19519912</v>
      </c>
      <c r="AE8" s="79">
        <v>17898800</v>
      </c>
      <c r="AF8" s="77">
        <v>47886714</v>
      </c>
      <c r="AG8" s="79">
        <v>41409839</v>
      </c>
      <c r="AH8" s="77">
        <v>15705317</v>
      </c>
      <c r="AI8" s="79">
        <v>14417746</v>
      </c>
      <c r="AJ8" s="78">
        <v>15042368</v>
      </c>
      <c r="AK8" s="87">
        <v>14557293</v>
      </c>
      <c r="AL8" s="73"/>
      <c r="AM8" s="75"/>
      <c r="AN8" s="892">
        <v>117348041</v>
      </c>
      <c r="AO8" s="567">
        <v>91213087</v>
      </c>
      <c r="AP8" s="382">
        <v>4200240</v>
      </c>
      <c r="AQ8" s="619">
        <v>3812296</v>
      </c>
      <c r="AR8" s="92">
        <v>7391773</v>
      </c>
      <c r="AS8" s="94">
        <v>5753218</v>
      </c>
      <c r="AT8" s="77">
        <v>26533601</v>
      </c>
      <c r="AU8" s="79">
        <v>18255297</v>
      </c>
      <c r="AV8" s="95">
        <f t="shared" si="0"/>
        <v>523198613</v>
      </c>
      <c r="AW8" s="100">
        <f t="shared" si="0"/>
        <v>446812890</v>
      </c>
      <c r="AX8" s="92"/>
      <c r="AY8" s="94">
        <v>904379213</v>
      </c>
      <c r="AZ8" s="95">
        <f t="shared" si="1"/>
        <v>523198613</v>
      </c>
      <c r="BA8" s="96">
        <f t="shared" si="1"/>
        <v>1351192103</v>
      </c>
    </row>
    <row r="9" spans="1:53" s="71" customFormat="1" ht="14.25" x14ac:dyDescent="0.3">
      <c r="A9" s="272" t="s">
        <v>25</v>
      </c>
      <c r="B9" s="278">
        <v>12071571</v>
      </c>
      <c r="C9" s="86">
        <v>6971030</v>
      </c>
      <c r="D9" s="104">
        <v>3141</v>
      </c>
      <c r="E9" s="87">
        <v>25329</v>
      </c>
      <c r="F9" s="77"/>
      <c r="G9" s="79">
        <v>53935</v>
      </c>
      <c r="H9" s="77">
        <v>12510424</v>
      </c>
      <c r="I9" s="79">
        <v>14696956</v>
      </c>
      <c r="J9" s="77">
        <v>1159679</v>
      </c>
      <c r="K9" s="79">
        <v>1445365</v>
      </c>
      <c r="L9" s="104">
        <v>6811853</v>
      </c>
      <c r="M9" s="87">
        <v>3307407</v>
      </c>
      <c r="N9" s="77">
        <v>368129</v>
      </c>
      <c r="O9" s="79">
        <v>2192407</v>
      </c>
      <c r="P9" s="77">
        <v>69889</v>
      </c>
      <c r="Q9" s="79">
        <v>145059</v>
      </c>
      <c r="R9" s="77">
        <v>375117</v>
      </c>
      <c r="S9" s="79">
        <v>635882</v>
      </c>
      <c r="T9" s="104">
        <v>100513</v>
      </c>
      <c r="U9" s="87">
        <v>365514</v>
      </c>
      <c r="V9" s="77">
        <v>57986250</v>
      </c>
      <c r="W9" s="79">
        <v>51350458</v>
      </c>
      <c r="X9" s="78">
        <v>27687694</v>
      </c>
      <c r="Y9" s="87">
        <v>22492617</v>
      </c>
      <c r="Z9" s="888">
        <v>1390366</v>
      </c>
      <c r="AA9" s="91">
        <v>1297243</v>
      </c>
      <c r="AB9" s="74">
        <v>6708888</v>
      </c>
      <c r="AC9" s="76">
        <v>6148595</v>
      </c>
      <c r="AD9" s="77">
        <v>6512671</v>
      </c>
      <c r="AE9" s="79">
        <v>8148066</v>
      </c>
      <c r="AF9" s="77">
        <v>7461341</v>
      </c>
      <c r="AG9" s="79">
        <v>5922317</v>
      </c>
      <c r="AH9" s="77">
        <v>1306284</v>
      </c>
      <c r="AI9" s="79">
        <v>1740559</v>
      </c>
      <c r="AJ9" s="78">
        <v>220588</v>
      </c>
      <c r="AK9" s="87">
        <v>339616</v>
      </c>
      <c r="AL9" s="73"/>
      <c r="AM9" s="75"/>
      <c r="AN9" s="892">
        <v>55970055</v>
      </c>
      <c r="AO9" s="567">
        <v>36241542</v>
      </c>
      <c r="AP9" s="382">
        <v>582182</v>
      </c>
      <c r="AQ9" s="619">
        <v>1144838</v>
      </c>
      <c r="AR9" s="92">
        <v>1056713</v>
      </c>
      <c r="AS9" s="94">
        <v>636296</v>
      </c>
      <c r="AT9" s="77">
        <v>3261065</v>
      </c>
      <c r="AU9" s="79">
        <v>2316383</v>
      </c>
      <c r="AV9" s="95">
        <f t="shared" si="0"/>
        <v>203614413</v>
      </c>
      <c r="AW9" s="100">
        <f t="shared" si="0"/>
        <v>167617414</v>
      </c>
      <c r="AX9" s="92"/>
      <c r="AY9" s="94">
        <v>583285476</v>
      </c>
      <c r="AZ9" s="95">
        <f t="shared" si="1"/>
        <v>203614413</v>
      </c>
      <c r="BA9" s="96">
        <f t="shared" si="1"/>
        <v>750902890</v>
      </c>
    </row>
    <row r="10" spans="1:53" s="71" customFormat="1" ht="14.25" x14ac:dyDescent="0.3">
      <c r="A10" s="274" t="s">
        <v>26</v>
      </c>
      <c r="B10" s="69">
        <f t="shared" ref="B10:AG10" si="2">SUM(B7:B9)</f>
        <v>39833374</v>
      </c>
      <c r="C10" s="387">
        <f t="shared" si="2"/>
        <v>30855433</v>
      </c>
      <c r="D10" s="97">
        <f t="shared" si="2"/>
        <v>2312388</v>
      </c>
      <c r="E10" s="383">
        <f t="shared" si="2"/>
        <v>2396601</v>
      </c>
      <c r="F10" s="69">
        <f t="shared" si="2"/>
        <v>0</v>
      </c>
      <c r="G10" s="387">
        <f t="shared" si="2"/>
        <v>4928410</v>
      </c>
      <c r="H10" s="69">
        <f t="shared" si="2"/>
        <v>43768044</v>
      </c>
      <c r="I10" s="387">
        <f t="shared" si="2"/>
        <v>40723250</v>
      </c>
      <c r="J10" s="69">
        <f t="shared" si="2"/>
        <v>9123864</v>
      </c>
      <c r="K10" s="387">
        <f t="shared" si="2"/>
        <v>9559827</v>
      </c>
      <c r="L10" s="97">
        <f t="shared" si="2"/>
        <v>21838317</v>
      </c>
      <c r="M10" s="383">
        <f t="shared" si="2"/>
        <v>17954020</v>
      </c>
      <c r="N10" s="69">
        <f t="shared" si="2"/>
        <v>4468958</v>
      </c>
      <c r="O10" s="387">
        <f t="shared" si="2"/>
        <v>6278137</v>
      </c>
      <c r="P10" s="69">
        <f t="shared" si="2"/>
        <v>4496104</v>
      </c>
      <c r="Q10" s="387">
        <f t="shared" si="2"/>
        <v>3946983</v>
      </c>
      <c r="R10" s="69">
        <f t="shared" si="2"/>
        <v>13186972</v>
      </c>
      <c r="S10" s="387">
        <f t="shared" si="2"/>
        <v>13609791</v>
      </c>
      <c r="T10" s="97">
        <f t="shared" si="2"/>
        <v>4228699</v>
      </c>
      <c r="U10" s="383">
        <f t="shared" si="2"/>
        <v>5880658</v>
      </c>
      <c r="V10" s="69">
        <f t="shared" si="2"/>
        <v>160450903</v>
      </c>
      <c r="W10" s="387">
        <f t="shared" si="2"/>
        <v>140909901</v>
      </c>
      <c r="X10" s="69">
        <f t="shared" si="2"/>
        <v>144801782</v>
      </c>
      <c r="Y10" s="383">
        <f t="shared" si="2"/>
        <v>145200535</v>
      </c>
      <c r="Z10" s="69">
        <f t="shared" si="2"/>
        <v>7749127</v>
      </c>
      <c r="AA10" s="387">
        <f t="shared" si="2"/>
        <v>8014286</v>
      </c>
      <c r="AB10" s="69">
        <f t="shared" si="2"/>
        <v>16675560</v>
      </c>
      <c r="AC10" s="383">
        <f t="shared" si="2"/>
        <v>14621851</v>
      </c>
      <c r="AD10" s="69">
        <f t="shared" si="2"/>
        <v>36072679</v>
      </c>
      <c r="AE10" s="387">
        <f t="shared" si="2"/>
        <v>38306609</v>
      </c>
      <c r="AF10" s="69">
        <f t="shared" si="2"/>
        <v>72834310</v>
      </c>
      <c r="AG10" s="387">
        <f t="shared" si="2"/>
        <v>64320819</v>
      </c>
      <c r="AH10" s="69">
        <f t="shared" ref="AH10:AU10" si="3">SUM(AH7:AH9)</f>
        <v>22219985</v>
      </c>
      <c r="AI10" s="387">
        <f t="shared" si="3"/>
        <v>22131828</v>
      </c>
      <c r="AJ10" s="69">
        <f t="shared" si="3"/>
        <v>18890992</v>
      </c>
      <c r="AK10" s="383">
        <f t="shared" si="3"/>
        <v>19236064</v>
      </c>
      <c r="AL10" s="69">
        <f t="shared" si="3"/>
        <v>0</v>
      </c>
      <c r="AM10" s="387">
        <f t="shared" si="3"/>
        <v>0</v>
      </c>
      <c r="AN10" s="69">
        <f t="shared" si="3"/>
        <v>207330880</v>
      </c>
      <c r="AO10" s="387">
        <f t="shared" si="3"/>
        <v>169378513</v>
      </c>
      <c r="AP10" s="69">
        <f t="shared" si="3"/>
        <v>6655934</v>
      </c>
      <c r="AQ10" s="387">
        <f t="shared" si="3"/>
        <v>6952935</v>
      </c>
      <c r="AR10" s="69">
        <f t="shared" si="3"/>
        <v>11231211</v>
      </c>
      <c r="AS10" s="387">
        <f t="shared" si="3"/>
        <v>8912257</v>
      </c>
      <c r="AT10" s="69">
        <f t="shared" si="3"/>
        <v>42690851</v>
      </c>
      <c r="AU10" s="387">
        <f t="shared" si="3"/>
        <v>31357942</v>
      </c>
      <c r="AV10" s="95">
        <f t="shared" si="0"/>
        <v>890860934</v>
      </c>
      <c r="AW10" s="100">
        <f t="shared" si="0"/>
        <v>805476650</v>
      </c>
      <c r="AX10" s="95">
        <f>SUM(AX7:AX9)</f>
        <v>0</v>
      </c>
      <c r="AY10" s="107">
        <f>SUM(AY7:AY9)</f>
        <v>1804808184</v>
      </c>
      <c r="AZ10" s="95">
        <f t="shared" si="1"/>
        <v>890860934</v>
      </c>
      <c r="BA10" s="96">
        <f t="shared" si="1"/>
        <v>2610284834</v>
      </c>
    </row>
    <row r="11" spans="1:53" s="71" customFormat="1" ht="14.25" x14ac:dyDescent="0.3">
      <c r="A11" s="272" t="s">
        <v>27</v>
      </c>
      <c r="B11" s="278"/>
      <c r="C11" s="86"/>
      <c r="D11" s="104"/>
      <c r="E11" s="87"/>
      <c r="F11" s="77"/>
      <c r="G11" s="79"/>
      <c r="H11" s="77"/>
      <c r="I11" s="79"/>
      <c r="J11" s="77"/>
      <c r="K11" s="79"/>
      <c r="L11" s="104"/>
      <c r="M11" s="87"/>
      <c r="N11" s="77"/>
      <c r="O11" s="79"/>
      <c r="P11" s="77"/>
      <c r="Q11" s="79"/>
      <c r="R11" s="77"/>
      <c r="S11" s="79"/>
      <c r="T11" s="104"/>
      <c r="U11" s="87"/>
      <c r="V11" s="77"/>
      <c r="W11" s="79"/>
      <c r="X11" s="78"/>
      <c r="Y11" s="87"/>
      <c r="Z11" s="77"/>
      <c r="AA11" s="79"/>
      <c r="AB11" s="74"/>
      <c r="AC11" s="76"/>
      <c r="AD11" s="77"/>
      <c r="AE11" s="79"/>
      <c r="AF11" s="77"/>
      <c r="AG11" s="79"/>
      <c r="AH11" s="77"/>
      <c r="AI11" s="79"/>
      <c r="AJ11" s="78"/>
      <c r="AK11" s="87"/>
      <c r="AL11" s="73"/>
      <c r="AM11" s="75"/>
      <c r="AN11" s="891"/>
      <c r="AO11" s="70"/>
      <c r="AP11" s="382"/>
      <c r="AQ11" s="619"/>
      <c r="AR11" s="92"/>
      <c r="AS11" s="94"/>
      <c r="AT11" s="77"/>
      <c r="AU11" s="79"/>
      <c r="AV11" s="95"/>
      <c r="AW11" s="100"/>
      <c r="AX11" s="92"/>
      <c r="AY11" s="94"/>
      <c r="AZ11" s="95"/>
      <c r="BA11" s="96"/>
    </row>
    <row r="12" spans="1:53" s="71" customFormat="1" ht="14.25" x14ac:dyDescent="0.3">
      <c r="A12" s="272" t="s">
        <v>28</v>
      </c>
      <c r="B12" s="278">
        <f t="shared" ref="B12:L12" si="4">B10</f>
        <v>39833374</v>
      </c>
      <c r="C12" s="900">
        <f t="shared" si="4"/>
        <v>30855433</v>
      </c>
      <c r="D12" s="105">
        <f t="shared" si="4"/>
        <v>2312388</v>
      </c>
      <c r="E12" s="106">
        <f t="shared" si="4"/>
        <v>2396601</v>
      </c>
      <c r="F12" s="95">
        <f t="shared" si="4"/>
        <v>0</v>
      </c>
      <c r="G12" s="107">
        <f t="shared" si="4"/>
        <v>4928410</v>
      </c>
      <c r="H12" s="95">
        <f t="shared" si="4"/>
        <v>43768044</v>
      </c>
      <c r="I12" s="107">
        <f t="shared" si="4"/>
        <v>40723250</v>
      </c>
      <c r="J12" s="95">
        <f t="shared" si="4"/>
        <v>9123864</v>
      </c>
      <c r="K12" s="107">
        <f t="shared" si="4"/>
        <v>9559827</v>
      </c>
      <c r="L12" s="105">
        <f t="shared" si="4"/>
        <v>21838317</v>
      </c>
      <c r="M12" s="106">
        <f t="shared" ref="M12:Y12" si="5">M10</f>
        <v>17954020</v>
      </c>
      <c r="N12" s="95">
        <f t="shared" si="5"/>
        <v>4468958</v>
      </c>
      <c r="O12" s="107">
        <f t="shared" si="5"/>
        <v>6278137</v>
      </c>
      <c r="P12" s="95">
        <f t="shared" si="5"/>
        <v>4496104</v>
      </c>
      <c r="Q12" s="107">
        <f t="shared" si="5"/>
        <v>3946983</v>
      </c>
      <c r="R12" s="95">
        <f t="shared" si="5"/>
        <v>13186972</v>
      </c>
      <c r="S12" s="107">
        <f t="shared" si="5"/>
        <v>13609791</v>
      </c>
      <c r="T12" s="105">
        <f t="shared" si="5"/>
        <v>4228699</v>
      </c>
      <c r="U12" s="106">
        <f t="shared" si="5"/>
        <v>5880658</v>
      </c>
      <c r="V12" s="95">
        <f t="shared" si="5"/>
        <v>160450903</v>
      </c>
      <c r="W12" s="107">
        <f t="shared" si="5"/>
        <v>140909901</v>
      </c>
      <c r="X12" s="105">
        <f t="shared" si="5"/>
        <v>144801782</v>
      </c>
      <c r="Y12" s="106">
        <f t="shared" si="5"/>
        <v>145200535</v>
      </c>
      <c r="Z12" s="77">
        <f>Z10</f>
        <v>7749127</v>
      </c>
      <c r="AA12" s="627">
        <f>AA10</f>
        <v>8014286</v>
      </c>
      <c r="AB12" s="103">
        <f>AB10</f>
        <v>16675560</v>
      </c>
      <c r="AC12" s="901">
        <f>AC10</f>
        <v>14621851</v>
      </c>
      <c r="AD12" s="77">
        <f>AD10</f>
        <v>36072679</v>
      </c>
      <c r="AE12" s="617">
        <f t="shared" ref="AE12:AS12" si="6">AE10</f>
        <v>38306609</v>
      </c>
      <c r="AF12" s="77">
        <f t="shared" si="6"/>
        <v>72834310</v>
      </c>
      <c r="AG12" s="617">
        <f t="shared" si="6"/>
        <v>64320819</v>
      </c>
      <c r="AH12" s="77">
        <f t="shared" si="6"/>
        <v>22219985</v>
      </c>
      <c r="AI12" s="617">
        <f t="shared" si="6"/>
        <v>22131828</v>
      </c>
      <c r="AJ12" s="104">
        <f t="shared" si="6"/>
        <v>18890992</v>
      </c>
      <c r="AK12" s="889">
        <f t="shared" si="6"/>
        <v>19236064</v>
      </c>
      <c r="AL12" s="77">
        <f t="shared" si="6"/>
        <v>0</v>
      </c>
      <c r="AM12" s="617">
        <f t="shared" si="6"/>
        <v>0</v>
      </c>
      <c r="AN12" s="77">
        <f t="shared" si="6"/>
        <v>207330880</v>
      </c>
      <c r="AO12" s="617">
        <f t="shared" si="6"/>
        <v>169378513</v>
      </c>
      <c r="AP12" s="77">
        <f t="shared" si="6"/>
        <v>6655934</v>
      </c>
      <c r="AQ12" s="617">
        <f t="shared" si="6"/>
        <v>6952935</v>
      </c>
      <c r="AR12" s="77">
        <f t="shared" si="6"/>
        <v>11231211</v>
      </c>
      <c r="AS12" s="617">
        <f t="shared" si="6"/>
        <v>8912257</v>
      </c>
      <c r="AT12" s="92">
        <f>AT10</f>
        <v>42690851</v>
      </c>
      <c r="AU12" s="94">
        <f>AU10</f>
        <v>31357942</v>
      </c>
      <c r="AV12" s="95">
        <f>SUM(B12+D12+F12+H12+J12+L12+N12+P12+R12+T12+V12+X12+Z12+AB12+AD12+AF12+AH12+AJ12+AL12+AN12+AP12+AR12+AT12)</f>
        <v>890860934</v>
      </c>
      <c r="AW12" s="100">
        <f>SUM(C12+E12+G12+I12+K12+M12+O12+Q12+S12+U12+W12+Y12+AA12+AC12+AE12+AG12+AI12+AK12+AM12+AO12+AQ12+AS12+AU12)</f>
        <v>805476650</v>
      </c>
      <c r="AX12" s="92">
        <f>AX10</f>
        <v>0</v>
      </c>
      <c r="AY12" s="630">
        <f>AY10</f>
        <v>1804808184</v>
      </c>
      <c r="AZ12" s="95">
        <f>AV12+AX12</f>
        <v>890860934</v>
      </c>
      <c r="BA12" s="96">
        <f>AW12+AY12</f>
        <v>2610284834</v>
      </c>
    </row>
    <row r="13" spans="1:53" s="71" customFormat="1" ht="14.25" x14ac:dyDescent="0.3">
      <c r="A13" s="68" t="s">
        <v>29</v>
      </c>
      <c r="B13" s="278"/>
      <c r="C13" s="86"/>
      <c r="D13" s="104"/>
      <c r="E13" s="87"/>
      <c r="F13" s="77"/>
      <c r="G13" s="79"/>
      <c r="H13" s="77"/>
      <c r="I13" s="79"/>
      <c r="J13" s="77"/>
      <c r="K13" s="79"/>
      <c r="L13" s="104"/>
      <c r="M13" s="87"/>
      <c r="N13" s="77"/>
      <c r="O13" s="79"/>
      <c r="P13" s="77"/>
      <c r="Q13" s="79"/>
      <c r="R13" s="77"/>
      <c r="S13" s="79"/>
      <c r="T13" s="104"/>
      <c r="U13" s="87"/>
      <c r="V13" s="77"/>
      <c r="W13" s="79"/>
      <c r="X13" s="78"/>
      <c r="Y13" s="87"/>
      <c r="Z13" s="77"/>
      <c r="AA13" s="79"/>
      <c r="AB13" s="74"/>
      <c r="AC13" s="76"/>
      <c r="AD13" s="77"/>
      <c r="AE13" s="79"/>
      <c r="AF13" s="77"/>
      <c r="AG13" s="79"/>
      <c r="AH13" s="77"/>
      <c r="AI13" s="79"/>
      <c r="AJ13" s="78"/>
      <c r="AK13" s="87"/>
      <c r="AL13" s="73"/>
      <c r="AM13" s="75"/>
      <c r="AN13" s="893"/>
      <c r="AO13" s="70"/>
      <c r="AP13" s="382"/>
      <c r="AQ13" s="619"/>
      <c r="AR13" s="92"/>
      <c r="AS13" s="94"/>
      <c r="AT13" s="77"/>
      <c r="AU13" s="79"/>
      <c r="AV13" s="95"/>
      <c r="AW13" s="100"/>
      <c r="AX13" s="92"/>
      <c r="AY13" s="94"/>
      <c r="AZ13" s="95"/>
      <c r="BA13" s="96"/>
    </row>
    <row r="14" spans="1:53" s="379" customFormat="1" thickBot="1" x14ac:dyDescent="0.35">
      <c r="A14" s="368" t="s">
        <v>26</v>
      </c>
      <c r="B14" s="369">
        <f>B10</f>
        <v>39833374</v>
      </c>
      <c r="C14" s="370">
        <f t="shared" ref="C14:W14" si="7">C10</f>
        <v>30855433</v>
      </c>
      <c r="D14" s="371">
        <f t="shared" si="7"/>
        <v>2312388</v>
      </c>
      <c r="E14" s="372">
        <f t="shared" si="7"/>
        <v>2396601</v>
      </c>
      <c r="F14" s="369">
        <f t="shared" si="7"/>
        <v>0</v>
      </c>
      <c r="G14" s="373">
        <f t="shared" si="7"/>
        <v>4928410</v>
      </c>
      <c r="H14" s="369">
        <f t="shared" si="7"/>
        <v>43768044</v>
      </c>
      <c r="I14" s="373">
        <f t="shared" si="7"/>
        <v>40723250</v>
      </c>
      <c r="J14" s="369">
        <f t="shared" si="7"/>
        <v>9123864</v>
      </c>
      <c r="K14" s="373">
        <f t="shared" si="7"/>
        <v>9559827</v>
      </c>
      <c r="L14" s="371">
        <f t="shared" si="7"/>
        <v>21838317</v>
      </c>
      <c r="M14" s="372">
        <f t="shared" si="7"/>
        <v>17954020</v>
      </c>
      <c r="N14" s="369">
        <f t="shared" si="7"/>
        <v>4468958</v>
      </c>
      <c r="O14" s="373">
        <f t="shared" si="7"/>
        <v>6278137</v>
      </c>
      <c r="P14" s="369">
        <f t="shared" si="7"/>
        <v>4496104</v>
      </c>
      <c r="Q14" s="373">
        <f t="shared" si="7"/>
        <v>3946983</v>
      </c>
      <c r="R14" s="369">
        <f t="shared" si="7"/>
        <v>13186972</v>
      </c>
      <c r="S14" s="373">
        <f t="shared" si="7"/>
        <v>13609791</v>
      </c>
      <c r="T14" s="371">
        <f t="shared" si="7"/>
        <v>4228699</v>
      </c>
      <c r="U14" s="372">
        <f t="shared" si="7"/>
        <v>5880658</v>
      </c>
      <c r="V14" s="369">
        <f t="shared" si="7"/>
        <v>160450903</v>
      </c>
      <c r="W14" s="373">
        <f t="shared" si="7"/>
        <v>140909901</v>
      </c>
      <c r="X14" s="491">
        <f t="shared" ref="X14:AC14" si="8">X10</f>
        <v>144801782</v>
      </c>
      <c r="Y14" s="887">
        <f t="shared" si="8"/>
        <v>145200535</v>
      </c>
      <c r="Z14" s="374">
        <f t="shared" si="8"/>
        <v>7749127</v>
      </c>
      <c r="AA14" s="492">
        <f t="shared" si="8"/>
        <v>8014286</v>
      </c>
      <c r="AB14" s="376">
        <f t="shared" si="8"/>
        <v>16675560</v>
      </c>
      <c r="AC14" s="902">
        <f t="shared" si="8"/>
        <v>14621851</v>
      </c>
      <c r="AD14" s="374">
        <f t="shared" ref="AD14:AI14" si="9">AD10</f>
        <v>36072679</v>
      </c>
      <c r="AE14" s="375">
        <f t="shared" si="9"/>
        <v>38306609</v>
      </c>
      <c r="AF14" s="374">
        <f t="shared" si="9"/>
        <v>72834310</v>
      </c>
      <c r="AG14" s="492">
        <f t="shared" si="9"/>
        <v>64320819</v>
      </c>
      <c r="AH14" s="374">
        <f t="shared" si="9"/>
        <v>22219985</v>
      </c>
      <c r="AI14" s="492">
        <f t="shared" si="9"/>
        <v>22131828</v>
      </c>
      <c r="AJ14" s="374">
        <f t="shared" ref="AJ14:AU14" si="10">AJ10</f>
        <v>18890992</v>
      </c>
      <c r="AK14" s="890">
        <f t="shared" si="10"/>
        <v>19236064</v>
      </c>
      <c r="AL14" s="374">
        <f t="shared" si="10"/>
        <v>0</v>
      </c>
      <c r="AM14" s="492">
        <f t="shared" si="10"/>
        <v>0</v>
      </c>
      <c r="AN14" s="894">
        <f t="shared" si="10"/>
        <v>207330880</v>
      </c>
      <c r="AO14" s="493">
        <f t="shared" si="10"/>
        <v>169378513</v>
      </c>
      <c r="AP14" s="896">
        <f t="shared" si="10"/>
        <v>6655934</v>
      </c>
      <c r="AQ14" s="897">
        <f t="shared" si="10"/>
        <v>6952935</v>
      </c>
      <c r="AR14" s="377">
        <f t="shared" si="10"/>
        <v>11231211</v>
      </c>
      <c r="AS14" s="378">
        <f t="shared" si="10"/>
        <v>8912257</v>
      </c>
      <c r="AT14" s="377">
        <f t="shared" si="10"/>
        <v>42690851</v>
      </c>
      <c r="AU14" s="378">
        <f t="shared" si="10"/>
        <v>31357942</v>
      </c>
      <c r="AV14" s="374">
        <f>SUM(B14+D14+F14+H14+J14+L14+N14+P14+R14+T14+V14+X14+Z14+AB14+AD14+AF14+AH14+AJ14+AL14+AN14+AP14+AR14+AT14)</f>
        <v>890860934</v>
      </c>
      <c r="AW14" s="887">
        <f>SUM(C14+E14+G14+I14+K14+M14+O14+Q14+S14+U14+W14+Y14+AA14+AC14+AE14+AG14+AI14+AK14+AM14+AO14+AQ14+AS14+AU14)</f>
        <v>805476650</v>
      </c>
      <c r="AX14" s="377">
        <f>AX10</f>
        <v>0</v>
      </c>
      <c r="AY14" s="631">
        <f>AY10</f>
        <v>1804808184</v>
      </c>
      <c r="AZ14" s="374">
        <f>AV14+AX14</f>
        <v>890860934</v>
      </c>
      <c r="BA14" s="375">
        <f>AW14+AY14</f>
        <v>2610284834</v>
      </c>
    </row>
  </sheetData>
  <mergeCells count="29">
    <mergeCell ref="AH3:AI3"/>
    <mergeCell ref="AZ3:BA3"/>
    <mergeCell ref="AX3:AY3"/>
    <mergeCell ref="AJ3:AK3"/>
    <mergeCell ref="AL3:AM3"/>
    <mergeCell ref="AN3:AO3"/>
    <mergeCell ref="AP3:AQ3"/>
    <mergeCell ref="AR3:AS3"/>
    <mergeCell ref="AT3:AU3"/>
    <mergeCell ref="J3:K3"/>
    <mergeCell ref="L3:M3"/>
    <mergeCell ref="V3:W3"/>
    <mergeCell ref="X3:Y3"/>
    <mergeCell ref="T3:U3"/>
    <mergeCell ref="AV3:AW3"/>
    <mergeCell ref="Z3:AA3"/>
    <mergeCell ref="AB3:AC3"/>
    <mergeCell ref="AD3:AE3"/>
    <mergeCell ref="AF3:AG3"/>
    <mergeCell ref="A1:AZ1"/>
    <mergeCell ref="A2:AZ2"/>
    <mergeCell ref="A3:A4"/>
    <mergeCell ref="N3:O3"/>
    <mergeCell ref="P3:Q3"/>
    <mergeCell ref="R3:S3"/>
    <mergeCell ref="B3:C3"/>
    <mergeCell ref="D3:E3"/>
    <mergeCell ref="F3:G3"/>
    <mergeCell ref="H3:I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BA28"/>
  <sheetViews>
    <sheetView workbookViewId="0">
      <pane xSplit="1" topLeftCell="B1" activePane="topRight" state="frozen"/>
      <selection pane="topRight" sqref="A1:IV65536"/>
    </sheetView>
  </sheetViews>
  <sheetFormatPr defaultRowHeight="12.75" x14ac:dyDescent="0.25"/>
  <cols>
    <col min="1" max="1" width="37.42578125" style="149" bestFit="1" customWidth="1"/>
    <col min="2" max="53" width="12.85546875" style="149" bestFit="1" customWidth="1"/>
    <col min="54" max="16384" width="9.140625" style="149"/>
  </cols>
  <sheetData>
    <row r="1" spans="1:53" s="173" customFormat="1" ht="14.25" x14ac:dyDescent="0.3">
      <c r="A1" s="1191" t="s">
        <v>148</v>
      </c>
      <c r="B1" s="1191"/>
      <c r="C1" s="1191"/>
      <c r="D1" s="1191"/>
      <c r="E1" s="1191"/>
      <c r="F1" s="1191"/>
      <c r="G1" s="1191"/>
      <c r="H1" s="1191"/>
      <c r="I1" s="1191"/>
      <c r="J1" s="1191"/>
      <c r="K1" s="1191"/>
      <c r="L1" s="1191"/>
      <c r="M1" s="1191"/>
      <c r="N1" s="1191"/>
      <c r="O1" s="1191"/>
      <c r="P1" s="1191"/>
      <c r="Q1" s="1191"/>
      <c r="R1" s="1191"/>
      <c r="S1" s="1191"/>
      <c r="T1" s="1191"/>
      <c r="U1" s="1191"/>
      <c r="V1" s="1191"/>
      <c r="W1" s="1191"/>
      <c r="X1" s="1191"/>
      <c r="Y1" s="1191"/>
      <c r="Z1" s="1191"/>
      <c r="AA1" s="1191"/>
      <c r="AB1" s="1191"/>
      <c r="AC1" s="1191"/>
      <c r="AD1" s="1191"/>
      <c r="AE1" s="1191"/>
      <c r="AF1" s="1191"/>
      <c r="AG1" s="1191"/>
      <c r="AH1" s="1191"/>
      <c r="AI1" s="1191"/>
      <c r="AJ1" s="1191"/>
      <c r="AK1" s="1191"/>
      <c r="AL1" s="1191"/>
      <c r="AM1" s="1191"/>
      <c r="AN1" s="1191"/>
      <c r="AO1" s="1191"/>
      <c r="AP1" s="1191"/>
      <c r="AQ1" s="1191"/>
      <c r="AR1" s="1191"/>
      <c r="AS1" s="1191"/>
      <c r="AT1" s="1191"/>
      <c r="AU1" s="1191"/>
      <c r="AV1" s="1191"/>
      <c r="AW1" s="1191"/>
      <c r="AX1" s="1191"/>
      <c r="AY1" s="1191"/>
      <c r="AZ1" s="1191"/>
    </row>
    <row r="2" spans="1:53" s="380" customFormat="1" ht="16.5" thickBot="1" x14ac:dyDescent="0.4">
      <c r="A2" s="1226" t="s">
        <v>59</v>
      </c>
      <c r="B2" s="1226"/>
      <c r="C2" s="1226"/>
      <c r="D2" s="1226"/>
      <c r="E2" s="1226"/>
      <c r="F2" s="1226"/>
      <c r="G2" s="1226"/>
      <c r="H2" s="1226"/>
      <c r="I2" s="1226"/>
      <c r="J2" s="1226"/>
      <c r="K2" s="1226"/>
      <c r="L2" s="1226"/>
      <c r="M2" s="1226"/>
      <c r="N2" s="1226"/>
      <c r="O2" s="1226"/>
      <c r="P2" s="1226"/>
      <c r="Q2" s="1226"/>
      <c r="R2" s="1226"/>
      <c r="S2" s="1226"/>
      <c r="T2" s="1226"/>
      <c r="U2" s="1226"/>
      <c r="V2" s="1226"/>
      <c r="W2" s="1226"/>
      <c r="X2" s="1226"/>
      <c r="Y2" s="1226"/>
      <c r="Z2" s="1226"/>
      <c r="AA2" s="1226"/>
      <c r="AB2" s="1226"/>
      <c r="AC2" s="1226"/>
      <c r="AD2" s="1226"/>
      <c r="AE2" s="1226"/>
      <c r="AF2" s="1226"/>
      <c r="AG2" s="1226"/>
      <c r="AH2" s="1226"/>
      <c r="AI2" s="1226"/>
      <c r="AJ2" s="1226"/>
      <c r="AK2" s="1226"/>
      <c r="AL2" s="1226"/>
      <c r="AM2" s="1226"/>
      <c r="AN2" s="1226"/>
      <c r="AO2" s="1226"/>
      <c r="AP2" s="1226"/>
      <c r="AQ2" s="1226"/>
      <c r="AR2" s="1226"/>
      <c r="AS2" s="1226"/>
      <c r="AT2" s="1226"/>
      <c r="AU2" s="1226"/>
      <c r="AV2" s="1226"/>
      <c r="AW2" s="1226"/>
      <c r="AX2" s="1226"/>
      <c r="AY2" s="1226"/>
      <c r="AZ2" s="1226"/>
    </row>
    <row r="3" spans="1:53" ht="38.25" customHeight="1" thickBot="1" x14ac:dyDescent="0.3">
      <c r="A3" s="1227" t="s">
        <v>0</v>
      </c>
      <c r="B3" s="1229" t="s">
        <v>153</v>
      </c>
      <c r="C3" s="1231"/>
      <c r="D3" s="1229" t="s">
        <v>154</v>
      </c>
      <c r="E3" s="1231"/>
      <c r="F3" s="1230" t="s">
        <v>155</v>
      </c>
      <c r="G3" s="1231"/>
      <c r="H3" s="1230" t="s">
        <v>156</v>
      </c>
      <c r="I3" s="1231"/>
      <c r="J3" s="1229" t="s">
        <v>157</v>
      </c>
      <c r="K3" s="1231"/>
      <c r="L3" s="1229" t="s">
        <v>158</v>
      </c>
      <c r="M3" s="1231"/>
      <c r="N3" s="1229" t="s">
        <v>291</v>
      </c>
      <c r="O3" s="1230"/>
      <c r="P3" s="1229" t="s">
        <v>159</v>
      </c>
      <c r="Q3" s="1231"/>
      <c r="R3" s="1229" t="s">
        <v>160</v>
      </c>
      <c r="S3" s="1231"/>
      <c r="T3" s="1229" t="s">
        <v>161</v>
      </c>
      <c r="U3" s="1231"/>
      <c r="V3" s="1229" t="s">
        <v>162</v>
      </c>
      <c r="W3" s="1231"/>
      <c r="X3" s="1229" t="s">
        <v>163</v>
      </c>
      <c r="Y3" s="1230"/>
      <c r="Z3" s="1229" t="s">
        <v>164</v>
      </c>
      <c r="AA3" s="1231"/>
      <c r="AB3" s="1229" t="s">
        <v>165</v>
      </c>
      <c r="AC3" s="1231"/>
      <c r="AD3" s="1232" t="s">
        <v>166</v>
      </c>
      <c r="AE3" s="1232"/>
      <c r="AF3" s="1229" t="s">
        <v>167</v>
      </c>
      <c r="AG3" s="1231"/>
      <c r="AH3" s="1229" t="s">
        <v>168</v>
      </c>
      <c r="AI3" s="1230"/>
      <c r="AJ3" s="1229" t="s">
        <v>169</v>
      </c>
      <c r="AK3" s="1230"/>
      <c r="AL3" s="1177" t="s">
        <v>170</v>
      </c>
      <c r="AM3" s="1178"/>
      <c r="AN3" s="1230" t="s">
        <v>171</v>
      </c>
      <c r="AO3" s="1230"/>
      <c r="AP3" s="1229" t="s">
        <v>172</v>
      </c>
      <c r="AQ3" s="1231"/>
      <c r="AR3" s="1229" t="s">
        <v>173</v>
      </c>
      <c r="AS3" s="1230"/>
      <c r="AT3" s="1229" t="s">
        <v>174</v>
      </c>
      <c r="AU3" s="1231"/>
      <c r="AV3" s="1229" t="s">
        <v>1</v>
      </c>
      <c r="AW3" s="1231"/>
      <c r="AX3" s="1232" t="s">
        <v>175</v>
      </c>
      <c r="AY3" s="1232"/>
      <c r="AZ3" s="1177" t="s">
        <v>2</v>
      </c>
      <c r="BA3" s="1178"/>
    </row>
    <row r="4" spans="1:53" s="380" customFormat="1" ht="14.25" thickBot="1" x14ac:dyDescent="0.3">
      <c r="A4" s="1228"/>
      <c r="B4" s="362" t="s">
        <v>290</v>
      </c>
      <c r="C4" s="362" t="s">
        <v>279</v>
      </c>
      <c r="D4" s="362" t="s">
        <v>290</v>
      </c>
      <c r="E4" s="362" t="s">
        <v>279</v>
      </c>
      <c r="F4" s="362" t="s">
        <v>290</v>
      </c>
      <c r="G4" s="362" t="s">
        <v>279</v>
      </c>
      <c r="H4" s="362" t="s">
        <v>290</v>
      </c>
      <c r="I4" s="362" t="s">
        <v>279</v>
      </c>
      <c r="J4" s="362" t="s">
        <v>290</v>
      </c>
      <c r="K4" s="362" t="s">
        <v>279</v>
      </c>
      <c r="L4" s="362" t="s">
        <v>290</v>
      </c>
      <c r="M4" s="362" t="s">
        <v>279</v>
      </c>
      <c r="N4" s="362" t="s">
        <v>290</v>
      </c>
      <c r="O4" s="362" t="s">
        <v>279</v>
      </c>
      <c r="P4" s="362" t="s">
        <v>290</v>
      </c>
      <c r="Q4" s="362" t="s">
        <v>279</v>
      </c>
      <c r="R4" s="362" t="s">
        <v>290</v>
      </c>
      <c r="S4" s="362" t="s">
        <v>279</v>
      </c>
      <c r="T4" s="362" t="s">
        <v>290</v>
      </c>
      <c r="U4" s="362" t="s">
        <v>279</v>
      </c>
      <c r="V4" s="362" t="s">
        <v>290</v>
      </c>
      <c r="W4" s="362" t="s">
        <v>279</v>
      </c>
      <c r="X4" s="362" t="s">
        <v>290</v>
      </c>
      <c r="Y4" s="362" t="s">
        <v>279</v>
      </c>
      <c r="Z4" s="362" t="s">
        <v>290</v>
      </c>
      <c r="AA4" s="362" t="s">
        <v>279</v>
      </c>
      <c r="AB4" s="362" t="s">
        <v>290</v>
      </c>
      <c r="AC4" s="362" t="s">
        <v>279</v>
      </c>
      <c r="AD4" s="362" t="s">
        <v>290</v>
      </c>
      <c r="AE4" s="362" t="s">
        <v>279</v>
      </c>
      <c r="AF4" s="362" t="s">
        <v>290</v>
      </c>
      <c r="AG4" s="362" t="s">
        <v>279</v>
      </c>
      <c r="AH4" s="362" t="s">
        <v>290</v>
      </c>
      <c r="AI4" s="362" t="s">
        <v>279</v>
      </c>
      <c r="AJ4" s="362" t="s">
        <v>290</v>
      </c>
      <c r="AK4" s="362" t="s">
        <v>279</v>
      </c>
      <c r="AL4" s="362" t="s">
        <v>290</v>
      </c>
      <c r="AM4" s="362" t="s">
        <v>279</v>
      </c>
      <c r="AN4" s="362" t="s">
        <v>290</v>
      </c>
      <c r="AO4" s="362" t="s">
        <v>279</v>
      </c>
      <c r="AP4" s="362" t="s">
        <v>290</v>
      </c>
      <c r="AQ4" s="362" t="s">
        <v>279</v>
      </c>
      <c r="AR4" s="362" t="s">
        <v>290</v>
      </c>
      <c r="AS4" s="361" t="s">
        <v>279</v>
      </c>
      <c r="AT4" s="812" t="s">
        <v>290</v>
      </c>
      <c r="AU4" s="362" t="s">
        <v>279</v>
      </c>
      <c r="AV4" s="362" t="s">
        <v>290</v>
      </c>
      <c r="AW4" s="362" t="s">
        <v>279</v>
      </c>
      <c r="AX4" s="362" t="s">
        <v>290</v>
      </c>
      <c r="AY4" s="361" t="s">
        <v>279</v>
      </c>
      <c r="AZ4" s="812" t="s">
        <v>290</v>
      </c>
      <c r="BA4" s="362" t="s">
        <v>279</v>
      </c>
    </row>
    <row r="5" spans="1:53" s="133" customFormat="1" ht="14.25" x14ac:dyDescent="0.25">
      <c r="A5" s="275" t="s">
        <v>60</v>
      </c>
      <c r="B5" s="145"/>
      <c r="C5" s="141"/>
      <c r="D5" s="145"/>
      <c r="E5" s="141"/>
      <c r="F5" s="142"/>
      <c r="G5" s="141"/>
      <c r="H5" s="142"/>
      <c r="I5" s="141"/>
      <c r="J5" s="145"/>
      <c r="K5" s="141"/>
      <c r="L5" s="143"/>
      <c r="M5" s="143"/>
      <c r="N5" s="143"/>
      <c r="O5" s="146"/>
      <c r="P5" s="145"/>
      <c r="Q5" s="141"/>
      <c r="R5" s="145"/>
      <c r="S5" s="141"/>
      <c r="T5" s="145"/>
      <c r="U5" s="141"/>
      <c r="V5" s="145"/>
      <c r="W5" s="141"/>
      <c r="X5" s="143"/>
      <c r="Y5" s="146"/>
      <c r="Z5" s="145"/>
      <c r="AA5" s="141"/>
      <c r="AB5" s="145"/>
      <c r="AC5" s="141"/>
      <c r="AD5" s="142"/>
      <c r="AE5" s="146"/>
      <c r="AF5" s="145"/>
      <c r="AG5" s="141"/>
      <c r="AH5" s="145"/>
      <c r="AI5" s="146"/>
      <c r="AJ5" s="145"/>
      <c r="AK5" s="146"/>
      <c r="AL5" s="145"/>
      <c r="AM5" s="141"/>
      <c r="AN5" s="142"/>
      <c r="AO5" s="146"/>
      <c r="AP5" s="145"/>
      <c r="AQ5" s="141"/>
      <c r="AR5" s="143"/>
      <c r="AS5" s="146"/>
      <c r="AT5" s="145"/>
      <c r="AU5" s="141"/>
      <c r="AV5" s="145"/>
      <c r="AW5" s="141"/>
      <c r="AX5" s="142"/>
      <c r="AY5" s="146"/>
      <c r="AZ5" s="145"/>
      <c r="BA5" s="148"/>
    </row>
    <row r="6" spans="1:53" s="133" customFormat="1" ht="14.25" x14ac:dyDescent="0.3">
      <c r="A6" s="150" t="s">
        <v>61</v>
      </c>
      <c r="B6" s="278">
        <v>1337946</v>
      </c>
      <c r="C6" s="86">
        <v>1320697</v>
      </c>
      <c r="D6" s="77">
        <v>15943</v>
      </c>
      <c r="E6" s="79">
        <v>9314</v>
      </c>
      <c r="F6" s="104"/>
      <c r="G6" s="79">
        <v>57052</v>
      </c>
      <c r="H6" s="104">
        <v>1360961</v>
      </c>
      <c r="I6" s="79">
        <v>885959</v>
      </c>
      <c r="J6" s="77">
        <v>425216</v>
      </c>
      <c r="K6" s="79">
        <v>619571</v>
      </c>
      <c r="L6" s="78">
        <v>578985</v>
      </c>
      <c r="M6" s="78">
        <v>672288</v>
      </c>
      <c r="N6" s="78">
        <v>59619</v>
      </c>
      <c r="O6" s="87">
        <v>89814</v>
      </c>
      <c r="P6" s="77">
        <v>272919</v>
      </c>
      <c r="Q6" s="79">
        <v>219979</v>
      </c>
      <c r="R6" s="77">
        <v>518895</v>
      </c>
      <c r="S6" s="79">
        <v>645829</v>
      </c>
      <c r="T6" s="77">
        <v>93368</v>
      </c>
      <c r="U6" s="79">
        <v>167139</v>
      </c>
      <c r="V6" s="77">
        <v>4995850</v>
      </c>
      <c r="W6" s="79">
        <v>5263796</v>
      </c>
      <c r="X6" s="381">
        <v>3360659</v>
      </c>
      <c r="Y6" s="87">
        <v>4598099</v>
      </c>
      <c r="Z6" s="888">
        <v>112589</v>
      </c>
      <c r="AA6" s="91">
        <v>234347</v>
      </c>
      <c r="AB6" s="77">
        <v>380298</v>
      </c>
      <c r="AC6" s="79">
        <v>401839</v>
      </c>
      <c r="AD6" s="104">
        <v>894340</v>
      </c>
      <c r="AE6" s="87">
        <v>1115721</v>
      </c>
      <c r="AF6" s="77">
        <v>3062093</v>
      </c>
      <c r="AG6" s="79">
        <v>2994594</v>
      </c>
      <c r="AH6" s="77">
        <v>642807</v>
      </c>
      <c r="AI6" s="87">
        <v>721800</v>
      </c>
      <c r="AJ6" s="77">
        <v>272394</v>
      </c>
      <c r="AK6" s="87">
        <v>499592</v>
      </c>
      <c r="AL6" s="77"/>
      <c r="AM6" s="79"/>
      <c r="AN6" s="911">
        <v>2974229</v>
      </c>
      <c r="AO6" s="150">
        <v>3624323</v>
      </c>
      <c r="AP6" s="382">
        <v>292015</v>
      </c>
      <c r="AQ6" s="619">
        <v>318466</v>
      </c>
      <c r="AR6" s="93">
        <v>360234</v>
      </c>
      <c r="AS6" s="898">
        <v>365790</v>
      </c>
      <c r="AT6" s="77">
        <v>2984737</v>
      </c>
      <c r="AU6" s="79">
        <v>2417714</v>
      </c>
      <c r="AV6" s="95">
        <f>SUM(B6+D6+F6+H6+J6+L6+N6+P6+R6+T6+V6+X6+Z6+AB6+AD6+AF6+AH6+AJ6+AL6+AN6+AP6+AR6+AT6)</f>
        <v>24996097</v>
      </c>
      <c r="AW6" s="107">
        <f>SUM(C6+E6+G6+I6+K6+M6+O6+Q6+S6+U6+W6+Y6+AA6+AC6+AE6+AG6+AI6+AK6+AM6+AO6+AQ6+AS6+AU6)</f>
        <v>27243723</v>
      </c>
      <c r="AX6" s="279"/>
      <c r="AY6" s="898">
        <v>36871063</v>
      </c>
      <c r="AZ6" s="95">
        <f t="shared" ref="AZ6:AZ25" si="0">AV6+AX6</f>
        <v>24996097</v>
      </c>
      <c r="BA6" s="96">
        <f t="shared" ref="BA6:BA25" si="1">AW6+AY6</f>
        <v>64114786</v>
      </c>
    </row>
    <row r="7" spans="1:53" s="133" customFormat="1" ht="14.25" x14ac:dyDescent="0.3">
      <c r="A7" s="150" t="s">
        <v>62</v>
      </c>
      <c r="B7" s="278">
        <v>602861</v>
      </c>
      <c r="C7" s="86">
        <v>489586</v>
      </c>
      <c r="D7" s="77">
        <v>8977</v>
      </c>
      <c r="E7" s="79">
        <v>9059</v>
      </c>
      <c r="F7" s="104"/>
      <c r="G7" s="79">
        <v>32625</v>
      </c>
      <c r="H7" s="104">
        <v>395549</v>
      </c>
      <c r="I7" s="79">
        <v>293953</v>
      </c>
      <c r="J7" s="77">
        <v>224547</v>
      </c>
      <c r="K7" s="79">
        <v>194615</v>
      </c>
      <c r="L7" s="78">
        <v>336832</v>
      </c>
      <c r="M7" s="78">
        <v>264821</v>
      </c>
      <c r="N7" s="78">
        <v>55231</v>
      </c>
      <c r="O7" s="87">
        <v>61060</v>
      </c>
      <c r="P7" s="77">
        <v>73858</v>
      </c>
      <c r="Q7" s="79">
        <v>58432</v>
      </c>
      <c r="R7" s="77">
        <v>272793</v>
      </c>
      <c r="S7" s="79">
        <v>220760</v>
      </c>
      <c r="T7" s="77">
        <v>35581</v>
      </c>
      <c r="U7" s="79">
        <v>41407</v>
      </c>
      <c r="V7" s="77">
        <v>1167664</v>
      </c>
      <c r="W7" s="79">
        <v>970398</v>
      </c>
      <c r="X7" s="381">
        <v>1722357</v>
      </c>
      <c r="Y7" s="87">
        <v>1706116</v>
      </c>
      <c r="Z7" s="888">
        <v>86183</v>
      </c>
      <c r="AA7" s="91">
        <v>90626</v>
      </c>
      <c r="AB7" s="77">
        <v>166409</v>
      </c>
      <c r="AC7" s="79">
        <v>135967</v>
      </c>
      <c r="AD7" s="104">
        <v>563318</v>
      </c>
      <c r="AE7" s="87">
        <v>517928</v>
      </c>
      <c r="AF7" s="77">
        <v>1203876</v>
      </c>
      <c r="AG7" s="79">
        <v>1038758</v>
      </c>
      <c r="AH7" s="77">
        <v>406923</v>
      </c>
      <c r="AI7" s="87">
        <v>350533</v>
      </c>
      <c r="AJ7" s="77">
        <v>321166</v>
      </c>
      <c r="AK7" s="87">
        <v>300233</v>
      </c>
      <c r="AL7" s="77"/>
      <c r="AM7" s="79"/>
      <c r="AN7" s="911">
        <v>3006220</v>
      </c>
      <c r="AO7" s="150">
        <v>2504179</v>
      </c>
      <c r="AP7" s="382">
        <v>119471</v>
      </c>
      <c r="AQ7" s="619">
        <v>117275</v>
      </c>
      <c r="AR7" s="93">
        <v>357581</v>
      </c>
      <c r="AS7" s="898">
        <v>276277</v>
      </c>
      <c r="AT7" s="77">
        <v>757135</v>
      </c>
      <c r="AU7" s="79">
        <v>489086</v>
      </c>
      <c r="AV7" s="95">
        <f t="shared" ref="AV7:AV25" si="2">SUM(B7+D7+F7+H7+J7+L7+N7+P7+R7+T7+V7+X7+Z7+AB7+AD7+AF7+AH7+AJ7+AL7+AN7+AP7+AR7+AT7)</f>
        <v>11884532</v>
      </c>
      <c r="AW7" s="107">
        <f t="shared" ref="AW7:AW25" si="3">SUM(C7+E7+G7+I7+K7+M7+O7+Q7+S7+U7+W7+Y7+AA7+AC7+AE7+AG7+AI7+AK7+AM7+AO7+AQ7+AS7+AU7)</f>
        <v>10163694</v>
      </c>
      <c r="AX7" s="279"/>
      <c r="AY7" s="898">
        <v>46553348</v>
      </c>
      <c r="AZ7" s="95">
        <f t="shared" si="0"/>
        <v>11884532</v>
      </c>
      <c r="BA7" s="96">
        <f t="shared" si="1"/>
        <v>56717042</v>
      </c>
    </row>
    <row r="8" spans="1:53" s="133" customFormat="1" ht="14.25" x14ac:dyDescent="0.3">
      <c r="A8" s="150" t="s">
        <v>63</v>
      </c>
      <c r="B8" s="278">
        <v>23557</v>
      </c>
      <c r="C8" s="86">
        <v>36232</v>
      </c>
      <c r="D8" s="77">
        <v>77</v>
      </c>
      <c r="E8" s="79">
        <v>2</v>
      </c>
      <c r="F8" s="104"/>
      <c r="G8" s="79">
        <v>17</v>
      </c>
      <c r="H8" s="104">
        <v>161937</v>
      </c>
      <c r="I8" s="79">
        <v>262978</v>
      </c>
      <c r="J8" s="77">
        <v>16455</v>
      </c>
      <c r="K8" s="79">
        <v>2671</v>
      </c>
      <c r="L8" s="78">
        <v>58983</v>
      </c>
      <c r="M8" s="78">
        <v>17068</v>
      </c>
      <c r="N8" s="78">
        <v>14235</v>
      </c>
      <c r="O8" s="87">
        <v>46090</v>
      </c>
      <c r="P8" s="77">
        <v>1263</v>
      </c>
      <c r="Q8" s="79">
        <v>1464</v>
      </c>
      <c r="R8" s="77">
        <v>1218</v>
      </c>
      <c r="S8" s="79">
        <v>5744</v>
      </c>
      <c r="T8" s="77">
        <v>5334</v>
      </c>
      <c r="U8" s="79">
        <v>2833</v>
      </c>
      <c r="V8" s="77">
        <v>383649</v>
      </c>
      <c r="W8" s="79">
        <v>643507</v>
      </c>
      <c r="X8" s="381">
        <v>272351</v>
      </c>
      <c r="Y8" s="87">
        <v>289272</v>
      </c>
      <c r="Z8" s="888">
        <v>29700</v>
      </c>
      <c r="AA8" s="91">
        <v>37877</v>
      </c>
      <c r="AB8" s="77">
        <v>33154</v>
      </c>
      <c r="AC8" s="79">
        <v>41027</v>
      </c>
      <c r="AD8" s="104">
        <v>128637</v>
      </c>
      <c r="AE8" s="87">
        <v>175521</v>
      </c>
      <c r="AF8" s="77">
        <v>76000</v>
      </c>
      <c r="AG8" s="79">
        <v>63041</v>
      </c>
      <c r="AH8" s="77">
        <v>49764</v>
      </c>
      <c r="AI8" s="87">
        <v>80037</v>
      </c>
      <c r="AJ8" s="77">
        <v>1225</v>
      </c>
      <c r="AK8" s="87">
        <v>1995</v>
      </c>
      <c r="AL8" s="77"/>
      <c r="AM8" s="79"/>
      <c r="AN8" s="911">
        <v>417916</v>
      </c>
      <c r="AO8" s="150">
        <v>447547</v>
      </c>
      <c r="AP8" s="382">
        <v>3818</v>
      </c>
      <c r="AQ8" s="619">
        <v>2791</v>
      </c>
      <c r="AR8" s="93">
        <v>32717</v>
      </c>
      <c r="AS8" s="898">
        <v>21012</v>
      </c>
      <c r="AT8" s="77">
        <v>58624</v>
      </c>
      <c r="AU8" s="79">
        <v>39286</v>
      </c>
      <c r="AV8" s="95">
        <f t="shared" si="2"/>
        <v>1770614</v>
      </c>
      <c r="AW8" s="107">
        <f t="shared" si="3"/>
        <v>2218012</v>
      </c>
      <c r="AX8" s="279"/>
      <c r="AY8" s="898">
        <v>2711598</v>
      </c>
      <c r="AZ8" s="95">
        <f t="shared" si="0"/>
        <v>1770614</v>
      </c>
      <c r="BA8" s="96">
        <f t="shared" si="1"/>
        <v>4929610</v>
      </c>
    </row>
    <row r="9" spans="1:53" s="385" customFormat="1" ht="14.25" x14ac:dyDescent="0.3">
      <c r="A9" s="151" t="s">
        <v>54</v>
      </c>
      <c r="B9" s="69">
        <f t="shared" ref="B9:G9" si="4">SUM(B6:B8)</f>
        <v>1964364</v>
      </c>
      <c r="C9" s="387">
        <f t="shared" si="4"/>
        <v>1846515</v>
      </c>
      <c r="D9" s="95">
        <f t="shared" si="4"/>
        <v>24997</v>
      </c>
      <c r="E9" s="79">
        <f t="shared" si="4"/>
        <v>18375</v>
      </c>
      <c r="F9" s="105">
        <f t="shared" si="4"/>
        <v>0</v>
      </c>
      <c r="G9" s="79">
        <f t="shared" si="4"/>
        <v>89694</v>
      </c>
      <c r="H9" s="105">
        <f t="shared" ref="H9:O9" si="5">SUM(H6:H8)</f>
        <v>1918447</v>
      </c>
      <c r="I9" s="107">
        <f t="shared" si="5"/>
        <v>1442890</v>
      </c>
      <c r="J9" s="95">
        <f t="shared" si="5"/>
        <v>666218</v>
      </c>
      <c r="K9" s="107">
        <f t="shared" si="5"/>
        <v>816857</v>
      </c>
      <c r="L9" s="105">
        <f t="shared" si="5"/>
        <v>974800</v>
      </c>
      <c r="M9" s="105">
        <f t="shared" si="5"/>
        <v>954177</v>
      </c>
      <c r="N9" s="105">
        <f t="shared" si="5"/>
        <v>129085</v>
      </c>
      <c r="O9" s="105">
        <f t="shared" si="5"/>
        <v>196964</v>
      </c>
      <c r="P9" s="95">
        <f>SUM(P6:P8)</f>
        <v>348040</v>
      </c>
      <c r="Q9" s="79">
        <f>SUM(Q6:Q8)</f>
        <v>279875</v>
      </c>
      <c r="R9" s="95">
        <f>SUM(R6:R8)</f>
        <v>792906</v>
      </c>
      <c r="S9" s="79">
        <f>SUM(S6:S8)</f>
        <v>872333</v>
      </c>
      <c r="T9" s="95">
        <f t="shared" ref="T9:AA9" si="6">SUM(T6:T8)</f>
        <v>134283</v>
      </c>
      <c r="U9" s="79">
        <f t="shared" si="6"/>
        <v>211379</v>
      </c>
      <c r="V9" s="95">
        <f t="shared" si="6"/>
        <v>6547163</v>
      </c>
      <c r="W9" s="79">
        <f t="shared" si="6"/>
        <v>6877701</v>
      </c>
      <c r="X9" s="105">
        <f t="shared" si="6"/>
        <v>5355367</v>
      </c>
      <c r="Y9" s="106">
        <f t="shared" si="6"/>
        <v>6593487</v>
      </c>
      <c r="Z9" s="95">
        <f t="shared" si="6"/>
        <v>228472</v>
      </c>
      <c r="AA9" s="95">
        <f t="shared" si="6"/>
        <v>362850</v>
      </c>
      <c r="AB9" s="95">
        <f t="shared" ref="AB9:AH9" si="7">SUM(AB6:AB8)</f>
        <v>579861</v>
      </c>
      <c r="AC9" s="79">
        <f t="shared" si="7"/>
        <v>578833</v>
      </c>
      <c r="AD9" s="105">
        <f t="shared" si="7"/>
        <v>1586295</v>
      </c>
      <c r="AE9" s="87">
        <f t="shared" si="7"/>
        <v>1809170</v>
      </c>
      <c r="AF9" s="95">
        <f t="shared" si="7"/>
        <v>4341969</v>
      </c>
      <c r="AG9" s="107">
        <f t="shared" si="7"/>
        <v>4096393</v>
      </c>
      <c r="AH9" s="95">
        <f t="shared" si="7"/>
        <v>1099494</v>
      </c>
      <c r="AI9" s="87">
        <v>1152370</v>
      </c>
      <c r="AJ9" s="95">
        <f>SUM(AJ6:AJ8)</f>
        <v>594785</v>
      </c>
      <c r="AK9" s="106">
        <f>SUM(AK6:AK8)</f>
        <v>801820</v>
      </c>
      <c r="AL9" s="95">
        <f>SUM(AL6:AL8)</f>
        <v>0</v>
      </c>
      <c r="AM9" s="79"/>
      <c r="AN9" s="105">
        <f t="shared" ref="AN9:AU9" si="8">SUM(AN6:AN8)</f>
        <v>6398365</v>
      </c>
      <c r="AO9" s="106">
        <f t="shared" si="8"/>
        <v>6576049</v>
      </c>
      <c r="AP9" s="95">
        <f t="shared" si="8"/>
        <v>415304</v>
      </c>
      <c r="AQ9" s="107">
        <f t="shared" si="8"/>
        <v>438532</v>
      </c>
      <c r="AR9" s="156">
        <f t="shared" si="8"/>
        <v>750532</v>
      </c>
      <c r="AS9" s="898">
        <f t="shared" si="8"/>
        <v>663079</v>
      </c>
      <c r="AT9" s="384">
        <f t="shared" si="8"/>
        <v>3800496</v>
      </c>
      <c r="AU9" s="906">
        <f t="shared" si="8"/>
        <v>2946086</v>
      </c>
      <c r="AV9" s="95">
        <f t="shared" si="2"/>
        <v>38651243</v>
      </c>
      <c r="AW9" s="107">
        <f t="shared" si="3"/>
        <v>39625429</v>
      </c>
      <c r="AX9" s="908">
        <f>SUM(AX6:AX8)</f>
        <v>0</v>
      </c>
      <c r="AY9" s="914">
        <f>SUM(AY6:AY8)</f>
        <v>86136009</v>
      </c>
      <c r="AZ9" s="95">
        <f t="shared" si="0"/>
        <v>38651243</v>
      </c>
      <c r="BA9" s="96">
        <f t="shared" si="1"/>
        <v>125761438</v>
      </c>
    </row>
    <row r="10" spans="1:53" s="133" customFormat="1" ht="14.25" x14ac:dyDescent="0.3">
      <c r="A10" s="150" t="s">
        <v>64</v>
      </c>
      <c r="B10" s="69"/>
      <c r="C10" s="86"/>
      <c r="D10" s="95"/>
      <c r="E10" s="79"/>
      <c r="F10" s="105"/>
      <c r="G10" s="79"/>
      <c r="H10" s="105"/>
      <c r="I10" s="79"/>
      <c r="J10" s="95"/>
      <c r="K10" s="79"/>
      <c r="L10" s="98"/>
      <c r="M10" s="78"/>
      <c r="N10" s="98"/>
      <c r="O10" s="87"/>
      <c r="P10" s="95"/>
      <c r="Q10" s="79"/>
      <c r="R10" s="95"/>
      <c r="S10" s="79"/>
      <c r="T10" s="95"/>
      <c r="U10" s="79"/>
      <c r="V10" s="95"/>
      <c r="W10" s="79"/>
      <c r="X10" s="98"/>
      <c r="Y10" s="87"/>
      <c r="Z10" s="888"/>
      <c r="AA10" s="91"/>
      <c r="AB10" s="95"/>
      <c r="AC10" s="79"/>
      <c r="AD10" s="386"/>
      <c r="AE10" s="87"/>
      <c r="AF10" s="95"/>
      <c r="AG10" s="79"/>
      <c r="AH10" s="95"/>
      <c r="AI10" s="87"/>
      <c r="AJ10" s="95"/>
      <c r="AK10" s="87"/>
      <c r="AL10" s="77"/>
      <c r="AM10" s="79"/>
      <c r="AN10" s="104"/>
      <c r="AO10" s="150"/>
      <c r="AP10" s="382"/>
      <c r="AQ10" s="619"/>
      <c r="AR10" s="93"/>
      <c r="AS10" s="898"/>
      <c r="AT10" s="95"/>
      <c r="AU10" s="79"/>
      <c r="AV10" s="95">
        <f t="shared" si="2"/>
        <v>0</v>
      </c>
      <c r="AW10" s="107">
        <f t="shared" si="3"/>
        <v>0</v>
      </c>
      <c r="AX10" s="105"/>
      <c r="AY10" s="898"/>
      <c r="AZ10" s="95">
        <f t="shared" si="0"/>
        <v>0</v>
      </c>
      <c r="BA10" s="96">
        <f t="shared" si="1"/>
        <v>0</v>
      </c>
    </row>
    <row r="11" spans="1:53" s="133" customFormat="1" ht="14.25" x14ac:dyDescent="0.3">
      <c r="A11" s="150" t="s">
        <v>65</v>
      </c>
      <c r="B11" s="278"/>
      <c r="C11" s="86"/>
      <c r="D11" s="77"/>
      <c r="E11" s="79"/>
      <c r="F11" s="104"/>
      <c r="G11" s="79"/>
      <c r="H11" s="104">
        <v>68</v>
      </c>
      <c r="I11" s="79">
        <v>-2604</v>
      </c>
      <c r="J11" s="77"/>
      <c r="K11" s="79"/>
      <c r="L11" s="78"/>
      <c r="M11" s="78"/>
      <c r="N11" s="78"/>
      <c r="O11" s="87"/>
      <c r="P11" s="77"/>
      <c r="Q11" s="79"/>
      <c r="R11" s="77"/>
      <c r="S11" s="79"/>
      <c r="T11" s="77"/>
      <c r="U11" s="79"/>
      <c r="V11" s="77"/>
      <c r="W11" s="79"/>
      <c r="X11" s="78"/>
      <c r="Y11" s="87"/>
      <c r="Z11" s="77"/>
      <c r="AA11" s="91"/>
      <c r="AB11" s="77"/>
      <c r="AC11" s="79"/>
      <c r="AD11" s="104"/>
      <c r="AE11" s="87"/>
      <c r="AF11" s="77"/>
      <c r="AG11" s="79"/>
      <c r="AH11" s="77"/>
      <c r="AI11" s="87"/>
      <c r="AJ11" s="77"/>
      <c r="AK11" s="87"/>
      <c r="AL11" s="77"/>
      <c r="AM11" s="79"/>
      <c r="AN11" s="104"/>
      <c r="AO11" s="150"/>
      <c r="AP11" s="382"/>
      <c r="AQ11" s="619"/>
      <c r="AR11" s="93"/>
      <c r="AS11" s="898"/>
      <c r="AT11" s="77">
        <v>1400</v>
      </c>
      <c r="AU11" s="79">
        <v>2116</v>
      </c>
      <c r="AV11" s="95">
        <f t="shared" si="2"/>
        <v>1468</v>
      </c>
      <c r="AW11" s="107">
        <f t="shared" si="3"/>
        <v>-488</v>
      </c>
      <c r="AX11" s="279"/>
      <c r="AY11" s="898"/>
      <c r="AZ11" s="95">
        <f t="shared" si="0"/>
        <v>1468</v>
      </c>
      <c r="BA11" s="96">
        <f t="shared" si="1"/>
        <v>-488</v>
      </c>
    </row>
    <row r="12" spans="1:53" s="385" customFormat="1" ht="14.25" x14ac:dyDescent="0.3">
      <c r="A12" s="151" t="s">
        <v>66</v>
      </c>
      <c r="B12" s="69">
        <f t="shared" ref="B12:G12" si="9">B9</f>
        <v>1964364</v>
      </c>
      <c r="C12" s="387">
        <f t="shared" si="9"/>
        <v>1846515</v>
      </c>
      <c r="D12" s="69">
        <f t="shared" si="9"/>
        <v>24997</v>
      </c>
      <c r="E12" s="99">
        <f t="shared" si="9"/>
        <v>18375</v>
      </c>
      <c r="F12" s="97">
        <f t="shared" si="9"/>
        <v>0</v>
      </c>
      <c r="G12" s="99">
        <f t="shared" si="9"/>
        <v>89694</v>
      </c>
      <c r="H12" s="97">
        <f>H9+H11</f>
        <v>1918515</v>
      </c>
      <c r="I12" s="99">
        <f>I9+I11</f>
        <v>1440286</v>
      </c>
      <c r="J12" s="69">
        <f>J9</f>
        <v>666218</v>
      </c>
      <c r="K12" s="387">
        <f>K9</f>
        <v>816857</v>
      </c>
      <c r="L12" s="69">
        <f>L9</f>
        <v>974800</v>
      </c>
      <c r="M12" s="98"/>
      <c r="N12" s="69">
        <f>N9</f>
        <v>129085</v>
      </c>
      <c r="O12" s="69">
        <f>O9</f>
        <v>196964</v>
      </c>
      <c r="P12" s="69">
        <f t="shared" ref="P12:W12" si="10">P9</f>
        <v>348040</v>
      </c>
      <c r="Q12" s="99">
        <f t="shared" si="10"/>
        <v>279875</v>
      </c>
      <c r="R12" s="69">
        <f t="shared" si="10"/>
        <v>792906</v>
      </c>
      <c r="S12" s="99">
        <f t="shared" si="10"/>
        <v>872333</v>
      </c>
      <c r="T12" s="69">
        <f t="shared" si="10"/>
        <v>134283</v>
      </c>
      <c r="U12" s="99">
        <f t="shared" si="10"/>
        <v>211379</v>
      </c>
      <c r="V12" s="69">
        <f t="shared" si="10"/>
        <v>6547163</v>
      </c>
      <c r="W12" s="69">
        <f t="shared" si="10"/>
        <v>6877701</v>
      </c>
      <c r="X12" s="69">
        <f t="shared" ref="X12:AE12" si="11">X9</f>
        <v>5355367</v>
      </c>
      <c r="Y12" s="69">
        <f t="shared" si="11"/>
        <v>6593487</v>
      </c>
      <c r="Z12" s="69">
        <f t="shared" si="11"/>
        <v>228472</v>
      </c>
      <c r="AA12" s="69">
        <f t="shared" si="11"/>
        <v>362850</v>
      </c>
      <c r="AB12" s="69">
        <f t="shared" si="11"/>
        <v>579861</v>
      </c>
      <c r="AC12" s="69">
        <f t="shared" si="11"/>
        <v>578833</v>
      </c>
      <c r="AD12" s="97">
        <f t="shared" si="11"/>
        <v>1586295</v>
      </c>
      <c r="AE12" s="97">
        <f t="shared" si="11"/>
        <v>1809170</v>
      </c>
      <c r="AF12" s="95">
        <f t="shared" ref="AF12:AK12" si="12">AF9</f>
        <v>4341969</v>
      </c>
      <c r="AG12" s="96">
        <f t="shared" si="12"/>
        <v>4096393</v>
      </c>
      <c r="AH12" s="95">
        <f t="shared" si="12"/>
        <v>1099494</v>
      </c>
      <c r="AI12" s="100">
        <f t="shared" si="12"/>
        <v>1152370</v>
      </c>
      <c r="AJ12" s="95">
        <f t="shared" si="12"/>
        <v>594785</v>
      </c>
      <c r="AK12" s="910">
        <f t="shared" si="12"/>
        <v>801820</v>
      </c>
      <c r="AL12" s="95"/>
      <c r="AM12" s="99"/>
      <c r="AN12" s="912">
        <f>AN9</f>
        <v>6398365</v>
      </c>
      <c r="AO12" s="151">
        <f>AO9</f>
        <v>6576049</v>
      </c>
      <c r="AP12" s="384">
        <f>AP9</f>
        <v>415304</v>
      </c>
      <c r="AQ12" s="906">
        <f>AQ9</f>
        <v>438532</v>
      </c>
      <c r="AR12" s="384">
        <f>AR9</f>
        <v>750532</v>
      </c>
      <c r="AS12" s="916"/>
      <c r="AT12" s="384">
        <v>3799096</v>
      </c>
      <c r="AU12" s="917">
        <f>AU9-AU11</f>
        <v>2943970</v>
      </c>
      <c r="AV12" s="95">
        <f t="shared" si="2"/>
        <v>38649911</v>
      </c>
      <c r="AW12" s="107">
        <f t="shared" si="3"/>
        <v>38003453</v>
      </c>
      <c r="AX12" s="908">
        <f>AX9</f>
        <v>0</v>
      </c>
      <c r="AY12" s="914">
        <f>AY9</f>
        <v>86136009</v>
      </c>
      <c r="AZ12" s="95">
        <f t="shared" si="0"/>
        <v>38649911</v>
      </c>
      <c r="BA12" s="96">
        <f t="shared" si="1"/>
        <v>124139462</v>
      </c>
    </row>
    <row r="13" spans="1:53" s="385" customFormat="1" ht="14.25" x14ac:dyDescent="0.3">
      <c r="A13" s="151" t="s">
        <v>293</v>
      </c>
      <c r="B13" s="69">
        <v>129813</v>
      </c>
      <c r="C13" s="918">
        <v>179898</v>
      </c>
      <c r="D13" s="918"/>
      <c r="E13" s="99"/>
      <c r="F13" s="97"/>
      <c r="G13" s="99"/>
      <c r="H13" s="97">
        <v>150126</v>
      </c>
      <c r="I13" s="99">
        <v>140970</v>
      </c>
      <c r="J13" s="69">
        <v>86751</v>
      </c>
      <c r="K13" s="918">
        <v>60421</v>
      </c>
      <c r="L13" s="97"/>
      <c r="M13" s="98"/>
      <c r="N13" s="97">
        <v>609</v>
      </c>
      <c r="O13" s="100">
        <v>3357</v>
      </c>
      <c r="P13" s="69">
        <v>29041</v>
      </c>
      <c r="Q13" s="99"/>
      <c r="R13" s="69">
        <v>72545</v>
      </c>
      <c r="S13" s="99">
        <v>122873</v>
      </c>
      <c r="T13" s="69">
        <v>2038</v>
      </c>
      <c r="U13" s="99">
        <v>6311</v>
      </c>
      <c r="V13" s="69">
        <v>99563</v>
      </c>
      <c r="W13" s="99">
        <v>137385</v>
      </c>
      <c r="X13" s="97">
        <v>210432</v>
      </c>
      <c r="Y13" s="100">
        <v>399911</v>
      </c>
      <c r="Z13" s="69"/>
      <c r="AA13" s="904"/>
      <c r="AB13" s="69">
        <v>80</v>
      </c>
      <c r="AC13" s="99"/>
      <c r="AD13" s="97">
        <v>50438</v>
      </c>
      <c r="AE13" s="100">
        <v>112857</v>
      </c>
      <c r="AF13" s="95">
        <v>158165</v>
      </c>
      <c r="AG13" s="107"/>
      <c r="AH13" s="95">
        <v>21396</v>
      </c>
      <c r="AI13" s="100">
        <v>24426</v>
      </c>
      <c r="AJ13" s="95">
        <v>24627</v>
      </c>
      <c r="AK13" s="106">
        <v>65589</v>
      </c>
      <c r="AL13" s="95"/>
      <c r="AM13" s="99"/>
      <c r="AN13" s="912">
        <v>168775</v>
      </c>
      <c r="AO13" s="151">
        <v>138650</v>
      </c>
      <c r="AP13" s="384">
        <v>15368</v>
      </c>
      <c r="AQ13" s="906">
        <v>8554</v>
      </c>
      <c r="AR13" s="912"/>
      <c r="AS13" s="916"/>
      <c r="AT13" s="384">
        <v>306841</v>
      </c>
      <c r="AU13" s="919">
        <v>191060</v>
      </c>
      <c r="AV13" s="95"/>
      <c r="AW13" s="107"/>
      <c r="AX13" s="908"/>
      <c r="AY13" s="920"/>
      <c r="AZ13" s="95"/>
      <c r="BA13" s="96"/>
    </row>
    <row r="14" spans="1:53" s="385" customFormat="1" ht="14.25" x14ac:dyDescent="0.3">
      <c r="A14" s="151" t="s">
        <v>294</v>
      </c>
      <c r="B14" s="69">
        <f>B12+B13</f>
        <v>2094177</v>
      </c>
      <c r="C14" s="69">
        <f>C12+C13</f>
        <v>2026413</v>
      </c>
      <c r="D14" s="69">
        <f>D12+D13</f>
        <v>24997</v>
      </c>
      <c r="E14" s="69">
        <f>E12+E13</f>
        <v>18375</v>
      </c>
      <c r="F14" s="69">
        <f>F12+F13</f>
        <v>0</v>
      </c>
      <c r="G14" s="69">
        <f t="shared" ref="G14:AU14" si="13">G12+G13</f>
        <v>89694</v>
      </c>
      <c r="H14" s="69">
        <f t="shared" si="13"/>
        <v>2068641</v>
      </c>
      <c r="I14" s="69">
        <f t="shared" si="13"/>
        <v>1581256</v>
      </c>
      <c r="J14" s="69">
        <f t="shared" si="13"/>
        <v>752969</v>
      </c>
      <c r="K14" s="69">
        <f t="shared" si="13"/>
        <v>877278</v>
      </c>
      <c r="L14" s="69">
        <f t="shared" si="13"/>
        <v>974800</v>
      </c>
      <c r="M14" s="69">
        <f t="shared" si="13"/>
        <v>0</v>
      </c>
      <c r="N14" s="69">
        <f t="shared" si="13"/>
        <v>129694</v>
      </c>
      <c r="O14" s="69">
        <f t="shared" si="13"/>
        <v>200321</v>
      </c>
      <c r="P14" s="69">
        <f t="shared" si="13"/>
        <v>377081</v>
      </c>
      <c r="Q14" s="69">
        <f t="shared" si="13"/>
        <v>279875</v>
      </c>
      <c r="R14" s="69">
        <f t="shared" si="13"/>
        <v>865451</v>
      </c>
      <c r="S14" s="69">
        <f t="shared" si="13"/>
        <v>995206</v>
      </c>
      <c r="T14" s="69">
        <f t="shared" si="13"/>
        <v>136321</v>
      </c>
      <c r="U14" s="69">
        <f t="shared" si="13"/>
        <v>217690</v>
      </c>
      <c r="V14" s="69">
        <f t="shared" si="13"/>
        <v>6646726</v>
      </c>
      <c r="W14" s="69">
        <f t="shared" si="13"/>
        <v>7015086</v>
      </c>
      <c r="X14" s="69">
        <f t="shared" si="13"/>
        <v>5565799</v>
      </c>
      <c r="Y14" s="69">
        <f t="shared" si="13"/>
        <v>6993398</v>
      </c>
      <c r="Z14" s="69">
        <f t="shared" si="13"/>
        <v>228472</v>
      </c>
      <c r="AA14" s="69">
        <f t="shared" si="13"/>
        <v>362850</v>
      </c>
      <c r="AB14" s="69">
        <f t="shared" si="13"/>
        <v>579941</v>
      </c>
      <c r="AC14" s="69">
        <f t="shared" si="13"/>
        <v>578833</v>
      </c>
      <c r="AD14" s="69">
        <f t="shared" si="13"/>
        <v>1636733</v>
      </c>
      <c r="AE14" s="69">
        <f t="shared" si="13"/>
        <v>1922027</v>
      </c>
      <c r="AF14" s="69">
        <f t="shared" si="13"/>
        <v>4500134</v>
      </c>
      <c r="AG14" s="69">
        <f t="shared" si="13"/>
        <v>4096393</v>
      </c>
      <c r="AH14" s="69">
        <f t="shared" si="13"/>
        <v>1120890</v>
      </c>
      <c r="AI14" s="69">
        <f t="shared" si="13"/>
        <v>1176796</v>
      </c>
      <c r="AJ14" s="69">
        <f t="shared" si="13"/>
        <v>619412</v>
      </c>
      <c r="AK14" s="69">
        <f t="shared" si="13"/>
        <v>867409</v>
      </c>
      <c r="AL14" s="69">
        <f t="shared" si="13"/>
        <v>0</v>
      </c>
      <c r="AM14" s="69">
        <f t="shared" si="13"/>
        <v>0</v>
      </c>
      <c r="AN14" s="69">
        <f t="shared" si="13"/>
        <v>6567140</v>
      </c>
      <c r="AO14" s="69">
        <f t="shared" si="13"/>
        <v>6714699</v>
      </c>
      <c r="AP14" s="69">
        <f t="shared" si="13"/>
        <v>430672</v>
      </c>
      <c r="AQ14" s="69">
        <f t="shared" si="13"/>
        <v>447086</v>
      </c>
      <c r="AR14" s="69">
        <f t="shared" si="13"/>
        <v>750532</v>
      </c>
      <c r="AS14" s="69">
        <f t="shared" si="13"/>
        <v>0</v>
      </c>
      <c r="AT14" s="69">
        <f t="shared" si="13"/>
        <v>4105937</v>
      </c>
      <c r="AU14" s="69">
        <f t="shared" si="13"/>
        <v>3135030</v>
      </c>
      <c r="AV14" s="95"/>
      <c r="AW14" s="107"/>
      <c r="AX14" s="908"/>
      <c r="AY14" s="920"/>
      <c r="AZ14" s="95"/>
      <c r="BA14" s="96"/>
    </row>
    <row r="15" spans="1:53" s="133" customFormat="1" ht="14.25" x14ac:dyDescent="0.3">
      <c r="A15" s="151" t="s">
        <v>67</v>
      </c>
      <c r="B15" s="278"/>
      <c r="C15" s="86"/>
      <c r="D15" s="77"/>
      <c r="E15" s="79"/>
      <c r="F15" s="104"/>
      <c r="G15" s="79"/>
      <c r="H15" s="104"/>
      <c r="I15" s="79"/>
      <c r="J15" s="77"/>
      <c r="K15" s="79"/>
      <c r="L15" s="78"/>
      <c r="M15" s="78"/>
      <c r="N15" s="78"/>
      <c r="O15" s="87"/>
      <c r="P15" s="77"/>
      <c r="Q15" s="79"/>
      <c r="R15" s="77"/>
      <c r="S15" s="79"/>
      <c r="T15" s="77"/>
      <c r="U15" s="79"/>
      <c r="V15" s="77"/>
      <c r="W15" s="79"/>
      <c r="X15" s="78"/>
      <c r="Y15" s="87"/>
      <c r="Z15" s="77"/>
      <c r="AA15" s="91"/>
      <c r="AB15" s="77"/>
      <c r="AC15" s="79"/>
      <c r="AD15" s="104"/>
      <c r="AE15" s="87"/>
      <c r="AF15" s="77"/>
      <c r="AG15" s="79"/>
      <c r="AH15" s="77"/>
      <c r="AI15" s="87"/>
      <c r="AJ15" s="77"/>
      <c r="AK15" s="87"/>
      <c r="AL15" s="77"/>
      <c r="AM15" s="79"/>
      <c r="AN15" s="104"/>
      <c r="AO15" s="150"/>
      <c r="AP15" s="382"/>
      <c r="AQ15" s="619"/>
      <c r="AR15" s="93"/>
      <c r="AS15" s="898"/>
      <c r="AT15" s="77"/>
      <c r="AU15" s="79"/>
      <c r="AV15" s="95">
        <f t="shared" si="2"/>
        <v>0</v>
      </c>
      <c r="AW15" s="107">
        <f t="shared" si="3"/>
        <v>0</v>
      </c>
      <c r="AX15" s="279"/>
      <c r="AY15" s="898"/>
      <c r="AZ15" s="95">
        <f t="shared" si="0"/>
        <v>0</v>
      </c>
      <c r="BA15" s="96">
        <f t="shared" si="1"/>
        <v>0</v>
      </c>
    </row>
    <row r="16" spans="1:53" s="133" customFormat="1" ht="14.25" x14ac:dyDescent="0.3">
      <c r="A16" s="151" t="s">
        <v>68</v>
      </c>
      <c r="B16" s="278"/>
      <c r="C16" s="86"/>
      <c r="D16" s="77"/>
      <c r="E16" s="79"/>
      <c r="F16" s="104"/>
      <c r="G16" s="79"/>
      <c r="H16" s="104"/>
      <c r="I16" s="79"/>
      <c r="J16" s="77"/>
      <c r="K16" s="79"/>
      <c r="L16" s="78"/>
      <c r="M16" s="78"/>
      <c r="N16" s="78"/>
      <c r="O16" s="87"/>
      <c r="P16" s="77"/>
      <c r="Q16" s="79"/>
      <c r="R16" s="77"/>
      <c r="S16" s="79"/>
      <c r="T16" s="77"/>
      <c r="U16" s="79"/>
      <c r="V16" s="77"/>
      <c r="W16" s="79"/>
      <c r="X16" s="78"/>
      <c r="Y16" s="87"/>
      <c r="Z16" s="77"/>
      <c r="AA16" s="91"/>
      <c r="AB16" s="77"/>
      <c r="AC16" s="79"/>
      <c r="AD16" s="104"/>
      <c r="AE16" s="87"/>
      <c r="AF16" s="77"/>
      <c r="AG16" s="79"/>
      <c r="AH16" s="77"/>
      <c r="AI16" s="87"/>
      <c r="AJ16" s="77"/>
      <c r="AK16" s="87"/>
      <c r="AL16" s="77"/>
      <c r="AM16" s="79"/>
      <c r="AN16" s="104"/>
      <c r="AO16" s="150"/>
      <c r="AP16" s="382"/>
      <c r="AQ16" s="619"/>
      <c r="AR16" s="93"/>
      <c r="AS16" s="898"/>
      <c r="AT16" s="77"/>
      <c r="AU16" s="79"/>
      <c r="AV16" s="95">
        <f t="shared" si="2"/>
        <v>0</v>
      </c>
      <c r="AW16" s="107">
        <f t="shared" si="3"/>
        <v>0</v>
      </c>
      <c r="AX16" s="279"/>
      <c r="AY16" s="898"/>
      <c r="AZ16" s="95">
        <f t="shared" si="0"/>
        <v>0</v>
      </c>
      <c r="BA16" s="96">
        <f t="shared" si="1"/>
        <v>0</v>
      </c>
    </row>
    <row r="17" spans="1:53" s="133" customFormat="1" ht="14.25" x14ac:dyDescent="0.3">
      <c r="A17" s="150" t="s">
        <v>69</v>
      </c>
      <c r="B17" s="69">
        <v>852355</v>
      </c>
      <c r="C17" s="86">
        <v>887186</v>
      </c>
      <c r="D17" s="95">
        <v>1146</v>
      </c>
      <c r="E17" s="79">
        <v>2251</v>
      </c>
      <c r="F17" s="105"/>
      <c r="G17" s="79">
        <v>43152</v>
      </c>
      <c r="H17" s="105">
        <v>1053315</v>
      </c>
      <c r="I17" s="79">
        <v>860478</v>
      </c>
      <c r="J17" s="95">
        <v>317658</v>
      </c>
      <c r="K17" s="79">
        <v>326309</v>
      </c>
      <c r="L17" s="98">
        <v>2703</v>
      </c>
      <c r="M17" s="78">
        <v>148</v>
      </c>
      <c r="N17" s="98">
        <v>91178</v>
      </c>
      <c r="O17" s="87">
        <v>111619</v>
      </c>
      <c r="P17" s="95">
        <v>247279</v>
      </c>
      <c r="Q17" s="79">
        <v>216370</v>
      </c>
      <c r="R17" s="95">
        <v>580436</v>
      </c>
      <c r="S17" s="79">
        <v>583877</v>
      </c>
      <c r="T17" s="95">
        <v>31178</v>
      </c>
      <c r="U17" s="79">
        <v>54260</v>
      </c>
      <c r="V17" s="95">
        <v>1212427</v>
      </c>
      <c r="W17" s="79">
        <v>1374648</v>
      </c>
      <c r="X17" s="98">
        <v>1627031</v>
      </c>
      <c r="Y17" s="87">
        <v>1602817</v>
      </c>
      <c r="Z17" s="888">
        <v>19248</v>
      </c>
      <c r="AA17" s="91">
        <v>29424</v>
      </c>
      <c r="AB17" s="95">
        <v>22908</v>
      </c>
      <c r="AC17" s="79">
        <v>34904</v>
      </c>
      <c r="AD17" s="386">
        <v>712670</v>
      </c>
      <c r="AE17" s="87">
        <v>954191</v>
      </c>
      <c r="AF17" s="95">
        <v>1166083</v>
      </c>
      <c r="AG17" s="79">
        <v>1245485</v>
      </c>
      <c r="AH17" s="95">
        <v>125064</v>
      </c>
      <c r="AI17" s="87">
        <v>106012</v>
      </c>
      <c r="AJ17" s="95">
        <v>479352</v>
      </c>
      <c r="AK17" s="87">
        <v>643864</v>
      </c>
      <c r="AL17" s="77"/>
      <c r="AM17" s="79"/>
      <c r="AN17" s="911">
        <v>2211807</v>
      </c>
      <c r="AO17" s="150">
        <v>2300789</v>
      </c>
      <c r="AP17" s="382">
        <v>60027</v>
      </c>
      <c r="AQ17" s="619">
        <v>73476</v>
      </c>
      <c r="AR17" s="93">
        <v>1141</v>
      </c>
      <c r="AS17" s="898">
        <v>4806</v>
      </c>
      <c r="AT17" s="95">
        <v>1235705</v>
      </c>
      <c r="AU17" s="79">
        <v>1022510</v>
      </c>
      <c r="AV17" s="95">
        <f t="shared" si="2"/>
        <v>12050711</v>
      </c>
      <c r="AW17" s="107">
        <f t="shared" si="3"/>
        <v>12478576</v>
      </c>
      <c r="AX17" s="105"/>
      <c r="AY17" s="898">
        <v>85547524</v>
      </c>
      <c r="AZ17" s="95">
        <f t="shared" si="0"/>
        <v>12050711</v>
      </c>
      <c r="BA17" s="96">
        <f t="shared" si="1"/>
        <v>98026100</v>
      </c>
    </row>
    <row r="18" spans="1:53" s="133" customFormat="1" ht="14.25" x14ac:dyDescent="0.3">
      <c r="A18" s="150" t="s">
        <v>6</v>
      </c>
      <c r="B18" s="278">
        <v>84022</v>
      </c>
      <c r="C18" s="86">
        <v>106660</v>
      </c>
      <c r="D18" s="77">
        <v>11359</v>
      </c>
      <c r="E18" s="79">
        <v>7766</v>
      </c>
      <c r="F18" s="104"/>
      <c r="G18" s="79">
        <v>2566</v>
      </c>
      <c r="H18" s="104">
        <v>72549</v>
      </c>
      <c r="I18" s="79">
        <v>72445</v>
      </c>
      <c r="J18" s="77">
        <v>277398</v>
      </c>
      <c r="K18" s="79">
        <v>448722</v>
      </c>
      <c r="L18" s="78">
        <v>6809</v>
      </c>
      <c r="M18" s="78">
        <v>434</v>
      </c>
      <c r="N18" s="78">
        <v>4267</v>
      </c>
      <c r="O18" s="87">
        <v>10079</v>
      </c>
      <c r="P18" s="77">
        <v>44780</v>
      </c>
      <c r="Q18" s="79">
        <v>21457</v>
      </c>
      <c r="R18" s="77">
        <v>207081</v>
      </c>
      <c r="S18" s="79">
        <v>307020</v>
      </c>
      <c r="T18" s="77">
        <v>17500</v>
      </c>
      <c r="U18" s="79">
        <v>16023</v>
      </c>
      <c r="V18" s="77">
        <v>533502</v>
      </c>
      <c r="W18" s="79">
        <v>810882</v>
      </c>
      <c r="X18" s="78">
        <v>401660</v>
      </c>
      <c r="Y18" s="87">
        <v>415373</v>
      </c>
      <c r="Z18" s="888">
        <v>1283</v>
      </c>
      <c r="AA18" s="91">
        <v>-134</v>
      </c>
      <c r="AB18" s="77">
        <v>10791</v>
      </c>
      <c r="AC18" s="79">
        <v>20934</v>
      </c>
      <c r="AD18" s="104">
        <v>105380</v>
      </c>
      <c r="AE18" s="87">
        <v>118299</v>
      </c>
      <c r="AF18" s="77">
        <v>34717</v>
      </c>
      <c r="AG18" s="79">
        <v>20182</v>
      </c>
      <c r="AH18" s="77">
        <v>112781</v>
      </c>
      <c r="AI18" s="87">
        <v>69313</v>
      </c>
      <c r="AJ18" s="77">
        <v>72780</v>
      </c>
      <c r="AK18" s="87">
        <v>117321</v>
      </c>
      <c r="AL18" s="77"/>
      <c r="AM18" s="79"/>
      <c r="AN18" s="911">
        <v>23890</v>
      </c>
      <c r="AO18" s="150">
        <v>20941</v>
      </c>
      <c r="AP18" s="382">
        <v>71602</v>
      </c>
      <c r="AQ18" s="619">
        <v>27741</v>
      </c>
      <c r="AR18" s="93">
        <v>1179</v>
      </c>
      <c r="AS18" s="898">
        <v>657</v>
      </c>
      <c r="AT18" s="77">
        <v>273067</v>
      </c>
      <c r="AU18" s="79">
        <v>222051</v>
      </c>
      <c r="AV18" s="95">
        <f t="shared" si="2"/>
        <v>2368397</v>
      </c>
      <c r="AW18" s="107">
        <f t="shared" si="3"/>
        <v>2836732</v>
      </c>
      <c r="AX18" s="104"/>
      <c r="AY18" s="898">
        <v>10948</v>
      </c>
      <c r="AZ18" s="95">
        <f t="shared" si="0"/>
        <v>2368397</v>
      </c>
      <c r="BA18" s="96">
        <f t="shared" si="1"/>
        <v>2847680</v>
      </c>
    </row>
    <row r="19" spans="1:53" s="133" customFormat="1" ht="14.25" x14ac:dyDescent="0.3">
      <c r="A19" s="150" t="s">
        <v>70</v>
      </c>
      <c r="B19" s="278">
        <v>1027987</v>
      </c>
      <c r="C19" s="86">
        <v>852669</v>
      </c>
      <c r="D19" s="77">
        <v>8212</v>
      </c>
      <c r="E19" s="79">
        <v>7100</v>
      </c>
      <c r="F19" s="104"/>
      <c r="G19" s="79">
        <v>31079</v>
      </c>
      <c r="H19" s="104">
        <v>778633</v>
      </c>
      <c r="I19" s="79">
        <v>478929</v>
      </c>
      <c r="J19" s="77">
        <v>157913</v>
      </c>
      <c r="K19" s="79">
        <v>102247</v>
      </c>
      <c r="L19" s="78">
        <v>3452</v>
      </c>
      <c r="M19" s="78">
        <v>4653</v>
      </c>
      <c r="N19" s="78">
        <v>32767</v>
      </c>
      <c r="O19" s="87">
        <v>54947</v>
      </c>
      <c r="P19" s="77">
        <v>84784</v>
      </c>
      <c r="Q19" s="79">
        <v>56163</v>
      </c>
      <c r="R19" s="77">
        <v>17628</v>
      </c>
      <c r="S19" s="79">
        <v>53172</v>
      </c>
      <c r="T19" s="77"/>
      <c r="U19" s="79"/>
      <c r="V19" s="77">
        <v>4893913</v>
      </c>
      <c r="W19" s="79">
        <v>4822683</v>
      </c>
      <c r="X19" s="78">
        <v>3204701</v>
      </c>
      <c r="Y19" s="87">
        <v>4470165</v>
      </c>
      <c r="Z19" s="888">
        <v>207941</v>
      </c>
      <c r="AA19" s="91">
        <v>333560</v>
      </c>
      <c r="AB19" s="77">
        <v>541994</v>
      </c>
      <c r="AC19" s="79">
        <v>522051</v>
      </c>
      <c r="AD19" s="104">
        <v>768012</v>
      </c>
      <c r="AE19" s="87">
        <v>736493</v>
      </c>
      <c r="AF19" s="77">
        <v>69782</v>
      </c>
      <c r="AG19" s="79">
        <v>92251</v>
      </c>
      <c r="AH19" s="77">
        <v>883045</v>
      </c>
      <c r="AI19" s="87">
        <v>1001471</v>
      </c>
      <c r="AJ19" s="77">
        <v>67091</v>
      </c>
      <c r="AK19" s="87">
        <v>106160</v>
      </c>
      <c r="AL19" s="77"/>
      <c r="AM19" s="79"/>
      <c r="AN19" s="911">
        <v>164647</v>
      </c>
      <c r="AO19" s="150">
        <v>95077</v>
      </c>
      <c r="AP19" s="382">
        <v>297842</v>
      </c>
      <c r="AQ19" s="619">
        <v>345868</v>
      </c>
      <c r="AR19" s="93"/>
      <c r="AS19" s="898"/>
      <c r="AT19" s="77">
        <v>45544</v>
      </c>
      <c r="AU19" s="79">
        <v>29815</v>
      </c>
      <c r="AV19" s="95">
        <f t="shared" si="2"/>
        <v>13255888</v>
      </c>
      <c r="AW19" s="107">
        <f t="shared" si="3"/>
        <v>14196553</v>
      </c>
      <c r="AX19" s="104"/>
      <c r="AY19" s="898">
        <v>72523</v>
      </c>
      <c r="AZ19" s="95">
        <f t="shared" si="0"/>
        <v>13255888</v>
      </c>
      <c r="BA19" s="96">
        <f t="shared" si="1"/>
        <v>14269076</v>
      </c>
    </row>
    <row r="20" spans="1:53" s="133" customFormat="1" ht="14.25" x14ac:dyDescent="0.3">
      <c r="A20" s="150" t="s">
        <v>71</v>
      </c>
      <c r="B20" s="278"/>
      <c r="C20" s="86"/>
      <c r="D20" s="77"/>
      <c r="E20" s="79"/>
      <c r="F20" s="104"/>
      <c r="G20" s="79"/>
      <c r="H20" s="104"/>
      <c r="I20" s="79"/>
      <c r="J20" s="77"/>
      <c r="K20" s="79"/>
      <c r="L20" s="78">
        <v>953801</v>
      </c>
      <c r="M20" s="78">
        <v>948503</v>
      </c>
      <c r="N20" s="78"/>
      <c r="O20" s="87"/>
      <c r="P20" s="77"/>
      <c r="Q20" s="79"/>
      <c r="R20" s="77">
        <v>30627</v>
      </c>
      <c r="S20" s="79">
        <v>46140</v>
      </c>
      <c r="T20" s="77">
        <v>81521</v>
      </c>
      <c r="U20" s="79">
        <v>129304</v>
      </c>
      <c r="V20" s="77"/>
      <c r="W20" s="79"/>
      <c r="X20" s="78"/>
      <c r="Y20" s="87"/>
      <c r="Z20" s="888"/>
      <c r="AA20" s="91"/>
      <c r="AB20" s="77"/>
      <c r="AC20" s="79"/>
      <c r="AD20" s="104"/>
      <c r="AE20" s="87"/>
      <c r="AF20" s="77">
        <v>3229553</v>
      </c>
      <c r="AG20" s="79">
        <v>2738475</v>
      </c>
      <c r="AH20" s="77"/>
      <c r="AI20" s="87"/>
      <c r="AJ20" s="77"/>
      <c r="AK20" s="87"/>
      <c r="AL20" s="77"/>
      <c r="AM20" s="79"/>
      <c r="AN20" s="911">
        <v>3995932</v>
      </c>
      <c r="AO20" s="150">
        <v>4157048</v>
      </c>
      <c r="AP20" s="382"/>
      <c r="AQ20" s="619"/>
      <c r="AR20" s="93">
        <v>748212</v>
      </c>
      <c r="AS20" s="898">
        <v>657616</v>
      </c>
      <c r="AT20" s="77">
        <v>2080087</v>
      </c>
      <c r="AU20" s="79">
        <v>1583678</v>
      </c>
      <c r="AV20" s="95">
        <f t="shared" si="2"/>
        <v>11119733</v>
      </c>
      <c r="AW20" s="107">
        <f t="shared" si="3"/>
        <v>10260764</v>
      </c>
      <c r="AX20" s="104"/>
      <c r="AY20" s="898">
        <v>510409</v>
      </c>
      <c r="AZ20" s="95">
        <f t="shared" si="0"/>
        <v>11119733</v>
      </c>
      <c r="BA20" s="96">
        <f t="shared" si="1"/>
        <v>10771173</v>
      </c>
    </row>
    <row r="21" spans="1:53" s="133" customFormat="1" ht="14.25" x14ac:dyDescent="0.3">
      <c r="A21" s="150" t="s">
        <v>72</v>
      </c>
      <c r="B21" s="278"/>
      <c r="C21" s="86"/>
      <c r="D21" s="77"/>
      <c r="E21" s="79"/>
      <c r="F21" s="104"/>
      <c r="G21" s="79"/>
      <c r="H21" s="104">
        <v>13950</v>
      </c>
      <c r="I21" s="79">
        <v>31038</v>
      </c>
      <c r="J21" s="77"/>
      <c r="K21" s="79"/>
      <c r="L21" s="78"/>
      <c r="M21" s="78"/>
      <c r="N21" s="78">
        <v>873</v>
      </c>
      <c r="O21" s="87">
        <v>9210</v>
      </c>
      <c r="P21" s="77"/>
      <c r="Q21" s="79"/>
      <c r="R21" s="77"/>
      <c r="S21" s="79"/>
      <c r="T21" s="77"/>
      <c r="U21" s="79"/>
      <c r="V21" s="77">
        <v>2785</v>
      </c>
      <c r="W21" s="79">
        <v>1738</v>
      </c>
      <c r="X21" s="78">
        <v>194</v>
      </c>
      <c r="Y21" s="87"/>
      <c r="Z21" s="888"/>
      <c r="AA21" s="91"/>
      <c r="AB21" s="77"/>
      <c r="AC21" s="79"/>
      <c r="AD21" s="104"/>
      <c r="AE21" s="87"/>
      <c r="AF21" s="77"/>
      <c r="AG21" s="79"/>
      <c r="AH21" s="77"/>
      <c r="AI21" s="87"/>
      <c r="AJ21" s="77"/>
      <c r="AK21" s="87"/>
      <c r="AL21" s="77"/>
      <c r="AM21" s="79"/>
      <c r="AN21" s="104"/>
      <c r="AO21" s="150"/>
      <c r="AP21" s="382"/>
      <c r="AQ21" s="619"/>
      <c r="AR21" s="93"/>
      <c r="AS21" s="898"/>
      <c r="AT21" s="77"/>
      <c r="AU21" s="79"/>
      <c r="AV21" s="95">
        <f t="shared" si="2"/>
        <v>17802</v>
      </c>
      <c r="AW21" s="107">
        <f t="shared" si="3"/>
        <v>41986</v>
      </c>
      <c r="AX21" s="104"/>
      <c r="AY21" s="898"/>
      <c r="AZ21" s="95">
        <f t="shared" si="0"/>
        <v>17802</v>
      </c>
      <c r="BA21" s="96">
        <f t="shared" si="1"/>
        <v>41986</v>
      </c>
    </row>
    <row r="22" spans="1:53" s="133" customFormat="1" ht="14.25" x14ac:dyDescent="0.3">
      <c r="A22" s="150" t="s">
        <v>15</v>
      </c>
      <c r="B22" s="69"/>
      <c r="C22" s="86"/>
      <c r="D22" s="95"/>
      <c r="E22" s="79"/>
      <c r="F22" s="105"/>
      <c r="G22" s="79"/>
      <c r="H22" s="105"/>
      <c r="I22" s="79"/>
      <c r="J22" s="95"/>
      <c r="K22" s="79"/>
      <c r="L22" s="98"/>
      <c r="M22" s="78"/>
      <c r="N22" s="98"/>
      <c r="O22" s="87"/>
      <c r="P22" s="95"/>
      <c r="Q22" s="79"/>
      <c r="R22" s="95"/>
      <c r="S22" s="79"/>
      <c r="T22" s="95"/>
      <c r="U22" s="79"/>
      <c r="V22" s="95"/>
      <c r="W22" s="79"/>
      <c r="X22" s="98"/>
      <c r="Y22" s="87"/>
      <c r="Z22" s="888"/>
      <c r="AA22" s="91"/>
      <c r="AB22" s="95">
        <v>4243</v>
      </c>
      <c r="AC22" s="79">
        <v>943</v>
      </c>
      <c r="AD22" s="386"/>
      <c r="AE22" s="87"/>
      <c r="AF22" s="95"/>
      <c r="AG22" s="79"/>
      <c r="AH22" s="95"/>
      <c r="AI22" s="87"/>
      <c r="AJ22" s="95"/>
      <c r="AK22" s="100"/>
      <c r="AL22" s="77"/>
      <c r="AM22" s="79"/>
      <c r="AN22" s="911"/>
      <c r="AO22" s="150"/>
      <c r="AP22" s="382"/>
      <c r="AQ22" s="619"/>
      <c r="AR22" s="93"/>
      <c r="AS22" s="898"/>
      <c r="AT22" s="95"/>
      <c r="AU22" s="79"/>
      <c r="AV22" s="95">
        <f t="shared" si="2"/>
        <v>4243</v>
      </c>
      <c r="AW22" s="107">
        <f t="shared" si="3"/>
        <v>943</v>
      </c>
      <c r="AX22" s="105"/>
      <c r="AY22" s="898"/>
      <c r="AZ22" s="95">
        <f t="shared" si="0"/>
        <v>4243</v>
      </c>
      <c r="BA22" s="96">
        <f t="shared" si="1"/>
        <v>943</v>
      </c>
    </row>
    <row r="23" spans="1:53" s="133" customFormat="1" ht="14.25" x14ac:dyDescent="0.3">
      <c r="A23" s="150" t="s">
        <v>17</v>
      </c>
      <c r="B23" s="278"/>
      <c r="C23" s="86"/>
      <c r="D23" s="77"/>
      <c r="E23" s="79"/>
      <c r="F23" s="104"/>
      <c r="G23" s="79">
        <v>13036</v>
      </c>
      <c r="H23" s="104"/>
      <c r="I23" s="79"/>
      <c r="J23" s="77"/>
      <c r="K23" s="79"/>
      <c r="L23" s="78"/>
      <c r="M23" s="78"/>
      <c r="N23" s="78"/>
      <c r="O23" s="87"/>
      <c r="P23" s="77"/>
      <c r="Q23" s="79"/>
      <c r="R23" s="77">
        <v>7</v>
      </c>
      <c r="S23" s="79">
        <v>120</v>
      </c>
      <c r="T23" s="77">
        <v>4020</v>
      </c>
      <c r="U23" s="79">
        <v>11728</v>
      </c>
      <c r="V23" s="77">
        <v>4099</v>
      </c>
      <c r="W23" s="79">
        <v>5135</v>
      </c>
      <c r="X23" s="78">
        <v>12548</v>
      </c>
      <c r="Y23" s="87">
        <v>7244</v>
      </c>
      <c r="Z23" s="888"/>
      <c r="AA23" s="91"/>
      <c r="AB23" s="77"/>
      <c r="AC23" s="79"/>
      <c r="AD23" s="104"/>
      <c r="AE23" s="87"/>
      <c r="AF23" s="77"/>
      <c r="AG23" s="79"/>
      <c r="AH23" s="77"/>
      <c r="AI23" s="87"/>
      <c r="AJ23" s="77"/>
      <c r="AK23" s="87"/>
      <c r="AL23" s="77"/>
      <c r="AM23" s="79"/>
      <c r="AN23" s="911">
        <v>268</v>
      </c>
      <c r="AO23" s="150">
        <v>103</v>
      </c>
      <c r="AP23" s="382"/>
      <c r="AQ23" s="619"/>
      <c r="AR23" s="93"/>
      <c r="AS23" s="898"/>
      <c r="AT23" s="77"/>
      <c r="AU23" s="79"/>
      <c r="AV23" s="95">
        <f t="shared" si="2"/>
        <v>20942</v>
      </c>
      <c r="AW23" s="107">
        <f t="shared" si="3"/>
        <v>37366</v>
      </c>
      <c r="AX23" s="279"/>
      <c r="AY23" s="898">
        <v>3605</v>
      </c>
      <c r="AZ23" s="95">
        <f t="shared" si="0"/>
        <v>20942</v>
      </c>
      <c r="BA23" s="96">
        <f t="shared" si="1"/>
        <v>40971</v>
      </c>
    </row>
    <row r="24" spans="1:53" s="133" customFormat="1" ht="14.25" x14ac:dyDescent="0.3">
      <c r="A24" s="150" t="s">
        <v>73</v>
      </c>
      <c r="B24" s="278"/>
      <c r="C24" s="86"/>
      <c r="D24" s="77">
        <v>4280</v>
      </c>
      <c r="E24" s="79">
        <v>1258</v>
      </c>
      <c r="F24" s="104"/>
      <c r="G24" s="79"/>
      <c r="H24" s="104"/>
      <c r="I24" s="79"/>
      <c r="J24" s="77"/>
      <c r="K24" s="79"/>
      <c r="L24" s="78">
        <v>8035</v>
      </c>
      <c r="M24" s="78">
        <v>439</v>
      </c>
      <c r="N24" s="78"/>
      <c r="O24" s="87"/>
      <c r="P24" s="77">
        <v>238</v>
      </c>
      <c r="Q24" s="79">
        <v>11</v>
      </c>
      <c r="R24" s="77"/>
      <c r="S24" s="79"/>
      <c r="T24" s="77">
        <v>64</v>
      </c>
      <c r="U24" s="79">
        <v>64</v>
      </c>
      <c r="V24" s="77"/>
      <c r="W24" s="79"/>
      <c r="X24" s="78">
        <v>109233</v>
      </c>
      <c r="Y24" s="87">
        <v>97888</v>
      </c>
      <c r="Z24" s="888"/>
      <c r="AA24" s="91"/>
      <c r="AB24" s="77">
        <v>5</v>
      </c>
      <c r="AC24" s="79"/>
      <c r="AD24" s="104"/>
      <c r="AE24" s="87"/>
      <c r="AF24" s="77"/>
      <c r="AG24" s="79"/>
      <c r="AH24" s="77"/>
      <c r="AI24" s="87"/>
      <c r="AJ24" s="77"/>
      <c r="AK24" s="87"/>
      <c r="AL24" s="77"/>
      <c r="AM24" s="79"/>
      <c r="AN24" s="911">
        <v>1820</v>
      </c>
      <c r="AO24" s="150">
        <v>2093</v>
      </c>
      <c r="AP24" s="382">
        <v>1201</v>
      </c>
      <c r="AQ24" s="619"/>
      <c r="AR24" s="93"/>
      <c r="AS24" s="898"/>
      <c r="AT24" s="77">
        <v>166093</v>
      </c>
      <c r="AU24" s="79">
        <v>88032</v>
      </c>
      <c r="AV24" s="95">
        <f t="shared" si="2"/>
        <v>290969</v>
      </c>
      <c r="AW24" s="107">
        <f t="shared" si="3"/>
        <v>189785</v>
      </c>
      <c r="AX24" s="279"/>
      <c r="AY24" s="898"/>
      <c r="AZ24" s="95">
        <f t="shared" si="0"/>
        <v>290969</v>
      </c>
      <c r="BA24" s="96">
        <f t="shared" si="1"/>
        <v>189785</v>
      </c>
    </row>
    <row r="25" spans="1:53" s="133" customFormat="1" ht="14.25" x14ac:dyDescent="0.3">
      <c r="A25" s="150" t="s">
        <v>74</v>
      </c>
      <c r="B25" s="388"/>
      <c r="C25" s="86"/>
      <c r="D25" s="120"/>
      <c r="E25" s="79"/>
      <c r="F25" s="117"/>
      <c r="G25" s="79">
        <v>-139</v>
      </c>
      <c r="H25" s="117"/>
      <c r="I25" s="79"/>
      <c r="J25" s="120"/>
      <c r="K25" s="79"/>
      <c r="L25" s="118"/>
      <c r="M25" s="78"/>
      <c r="N25" s="118"/>
      <c r="O25" s="87">
        <v>427</v>
      </c>
      <c r="P25" s="120"/>
      <c r="Q25" s="79"/>
      <c r="R25" s="120">
        <v>2115</v>
      </c>
      <c r="S25" s="79">
        <v>4403</v>
      </c>
      <c r="T25" s="120"/>
      <c r="U25" s="79"/>
      <c r="V25" s="120"/>
      <c r="W25" s="79"/>
      <c r="X25" s="118"/>
      <c r="Y25" s="87"/>
      <c r="Z25" s="905"/>
      <c r="AA25" s="91"/>
      <c r="AB25" s="120"/>
      <c r="AC25" s="79"/>
      <c r="AD25" s="117">
        <v>233</v>
      </c>
      <c r="AE25" s="87">
        <v>187</v>
      </c>
      <c r="AF25" s="120"/>
      <c r="AG25" s="79"/>
      <c r="AH25" s="120"/>
      <c r="AI25" s="87"/>
      <c r="AJ25" s="120"/>
      <c r="AK25" s="121"/>
      <c r="AL25" s="120"/>
      <c r="AM25" s="79"/>
      <c r="AN25" s="913"/>
      <c r="AO25" s="150"/>
      <c r="AP25" s="390"/>
      <c r="AQ25" s="619"/>
      <c r="AR25" s="123"/>
      <c r="AS25" s="898"/>
      <c r="AT25" s="120"/>
      <c r="AU25" s="79"/>
      <c r="AV25" s="95">
        <f t="shared" si="2"/>
        <v>2348</v>
      </c>
      <c r="AW25" s="107">
        <f t="shared" si="3"/>
        <v>4878</v>
      </c>
      <c r="AX25" s="909"/>
      <c r="AY25" s="898"/>
      <c r="AZ25" s="95">
        <f t="shared" si="0"/>
        <v>2348</v>
      </c>
      <c r="BA25" s="96">
        <f t="shared" si="1"/>
        <v>4878</v>
      </c>
    </row>
    <row r="26" spans="1:53" s="133" customFormat="1" ht="14.25" x14ac:dyDescent="0.3">
      <c r="A26" s="389" t="s">
        <v>16</v>
      </c>
      <c r="B26" s="388"/>
      <c r="C26" s="86"/>
      <c r="D26" s="120"/>
      <c r="E26" s="79"/>
      <c r="F26" s="117"/>
      <c r="G26" s="79"/>
      <c r="H26" s="117"/>
      <c r="I26" s="79"/>
      <c r="J26" s="120"/>
      <c r="K26" s="79"/>
      <c r="L26" s="118"/>
      <c r="M26" s="78"/>
      <c r="N26" s="118"/>
      <c r="O26" s="87"/>
      <c r="P26" s="120"/>
      <c r="Q26" s="79"/>
      <c r="R26" s="120">
        <v>27556</v>
      </c>
      <c r="S26" s="79">
        <v>475</v>
      </c>
      <c r="T26" s="120"/>
      <c r="U26" s="79"/>
      <c r="V26" s="120"/>
      <c r="W26" s="79"/>
      <c r="X26" s="118"/>
      <c r="Y26" s="87"/>
      <c r="Z26" s="905"/>
      <c r="AA26" s="91"/>
      <c r="AB26" s="120"/>
      <c r="AC26" s="79"/>
      <c r="AD26" s="117"/>
      <c r="AE26" s="87"/>
      <c r="AF26" s="120"/>
      <c r="AG26" s="79"/>
      <c r="AH26" s="120"/>
      <c r="AI26" s="87"/>
      <c r="AJ26" s="120"/>
      <c r="AK26" s="121"/>
      <c r="AL26" s="120"/>
      <c r="AM26" s="79"/>
      <c r="AN26" s="913"/>
      <c r="AO26" s="389"/>
      <c r="AP26" s="390"/>
      <c r="AQ26" s="620"/>
      <c r="AR26" s="123"/>
      <c r="AS26" s="124"/>
      <c r="AT26" s="120"/>
      <c r="AU26" s="116"/>
      <c r="AV26" s="125"/>
      <c r="AW26" s="127"/>
      <c r="AX26" s="909"/>
      <c r="AY26" s="898"/>
      <c r="AZ26" s="125"/>
      <c r="BA26" s="392"/>
    </row>
    <row r="27" spans="1:53" s="133" customFormat="1" ht="15" thickBot="1" x14ac:dyDescent="0.35">
      <c r="A27" s="389" t="s">
        <v>75</v>
      </c>
      <c r="B27" s="388"/>
      <c r="C27" s="86"/>
      <c r="D27" s="120"/>
      <c r="E27" s="79"/>
      <c r="F27" s="117"/>
      <c r="G27" s="79"/>
      <c r="H27" s="117"/>
      <c r="I27" s="79"/>
      <c r="J27" s="120"/>
      <c r="K27" s="79"/>
      <c r="L27" s="118"/>
      <c r="M27" s="78"/>
      <c r="N27" s="118">
        <v>609</v>
      </c>
      <c r="O27" s="87">
        <v>14038</v>
      </c>
      <c r="P27" s="120"/>
      <c r="Q27" s="79"/>
      <c r="R27" s="120"/>
      <c r="S27" s="79"/>
      <c r="T27" s="120">
        <v>2038</v>
      </c>
      <c r="U27" s="79">
        <v>6311</v>
      </c>
      <c r="V27" s="120"/>
      <c r="W27" s="79"/>
      <c r="X27" s="118"/>
      <c r="Y27" s="87"/>
      <c r="Z27" s="905"/>
      <c r="AA27" s="91"/>
      <c r="AB27" s="120"/>
      <c r="AC27" s="79"/>
      <c r="AD27" s="117"/>
      <c r="AE27" s="87"/>
      <c r="AF27" s="120"/>
      <c r="AG27" s="79"/>
      <c r="AH27" s="120"/>
      <c r="AI27" s="87"/>
      <c r="AJ27" s="120">
        <v>189</v>
      </c>
      <c r="AK27" s="121">
        <v>64</v>
      </c>
      <c r="AL27" s="120"/>
      <c r="AM27" s="79"/>
      <c r="AN27" s="913"/>
      <c r="AO27" s="389"/>
      <c r="AP27" s="390"/>
      <c r="AQ27" s="620"/>
      <c r="AR27" s="123"/>
      <c r="AS27" s="124"/>
      <c r="AT27" s="120"/>
      <c r="AU27" s="116"/>
      <c r="AV27" s="125">
        <f>SUM(B27+D27+F27+H27+J27+L27+N27+P27+R27+T27+V27+X27+Z27+AB27+AD27+AF27+AH27+AJ27+AL27+AN27+AP27+AR27+AT27)</f>
        <v>2836</v>
      </c>
      <c r="AW27" s="127">
        <v>4</v>
      </c>
      <c r="AX27" s="909"/>
      <c r="AY27" s="898"/>
      <c r="AZ27" s="125">
        <f>AV27+AX27</f>
        <v>2836</v>
      </c>
      <c r="BA27" s="392">
        <f>AW27+AY27</f>
        <v>4</v>
      </c>
    </row>
    <row r="28" spans="1:53" s="391" customFormat="1" ht="15" thickBot="1" x14ac:dyDescent="0.35">
      <c r="A28" s="403" t="s">
        <v>54</v>
      </c>
      <c r="B28" s="393">
        <f>SUM(B17:B25)</f>
        <v>1964364</v>
      </c>
      <c r="C28" s="395">
        <f t="shared" ref="C28:I28" si="14">SUM(C17:C25)</f>
        <v>1846515</v>
      </c>
      <c r="D28" s="393">
        <f t="shared" si="14"/>
        <v>24997</v>
      </c>
      <c r="E28" s="395">
        <f t="shared" si="14"/>
        <v>18375</v>
      </c>
      <c r="F28" s="396">
        <f t="shared" si="14"/>
        <v>0</v>
      </c>
      <c r="G28" s="395">
        <f t="shared" si="14"/>
        <v>89694</v>
      </c>
      <c r="H28" s="396">
        <f>SUM(H17:H27)</f>
        <v>1918447</v>
      </c>
      <c r="I28" s="395">
        <f t="shared" si="14"/>
        <v>1442890</v>
      </c>
      <c r="J28" s="393">
        <f t="shared" ref="J28:AN28" si="15">SUM(J17:J27)</f>
        <v>752969</v>
      </c>
      <c r="K28" s="395">
        <f t="shared" si="15"/>
        <v>877278</v>
      </c>
      <c r="L28" s="393">
        <f t="shared" si="15"/>
        <v>974800</v>
      </c>
      <c r="M28" s="393">
        <f t="shared" si="15"/>
        <v>954177</v>
      </c>
      <c r="N28" s="393">
        <f t="shared" si="15"/>
        <v>129694</v>
      </c>
      <c r="O28" s="394">
        <f t="shared" si="15"/>
        <v>200320</v>
      </c>
      <c r="P28" s="393">
        <f t="shared" si="15"/>
        <v>377081</v>
      </c>
      <c r="Q28" s="395">
        <f t="shared" si="15"/>
        <v>294001</v>
      </c>
      <c r="R28" s="393">
        <f t="shared" si="15"/>
        <v>865450</v>
      </c>
      <c r="S28" s="395">
        <f t="shared" si="15"/>
        <v>995207</v>
      </c>
      <c r="T28" s="393">
        <f t="shared" si="15"/>
        <v>136321</v>
      </c>
      <c r="U28" s="395">
        <f t="shared" si="15"/>
        <v>217690</v>
      </c>
      <c r="V28" s="393">
        <f t="shared" si="15"/>
        <v>6646726</v>
      </c>
      <c r="W28" s="395">
        <f t="shared" si="15"/>
        <v>7015086</v>
      </c>
      <c r="X28" s="393">
        <f t="shared" si="15"/>
        <v>5355367</v>
      </c>
      <c r="Y28" s="394">
        <f t="shared" si="15"/>
        <v>6593487</v>
      </c>
      <c r="Z28" s="393">
        <f t="shared" si="15"/>
        <v>228472</v>
      </c>
      <c r="AA28" s="395">
        <f t="shared" si="15"/>
        <v>362850</v>
      </c>
      <c r="AB28" s="393">
        <f t="shared" si="15"/>
        <v>579941</v>
      </c>
      <c r="AC28" s="395">
        <f t="shared" si="15"/>
        <v>578832</v>
      </c>
      <c r="AD28" s="396">
        <f t="shared" si="15"/>
        <v>1586295</v>
      </c>
      <c r="AE28" s="394">
        <f t="shared" si="15"/>
        <v>1809170</v>
      </c>
      <c r="AF28" s="393">
        <f t="shared" si="15"/>
        <v>4500135</v>
      </c>
      <c r="AG28" s="395">
        <f t="shared" si="15"/>
        <v>4096393</v>
      </c>
      <c r="AH28" s="393">
        <f t="shared" si="15"/>
        <v>1120890</v>
      </c>
      <c r="AI28" s="394">
        <f t="shared" si="15"/>
        <v>1176796</v>
      </c>
      <c r="AJ28" s="393">
        <f t="shared" si="15"/>
        <v>619412</v>
      </c>
      <c r="AK28" s="394">
        <f t="shared" si="15"/>
        <v>867409</v>
      </c>
      <c r="AL28" s="393">
        <f>AL9</f>
        <v>0</v>
      </c>
      <c r="AM28" s="395">
        <f>AM9</f>
        <v>0</v>
      </c>
      <c r="AN28" s="396">
        <f t="shared" si="15"/>
        <v>6398364</v>
      </c>
      <c r="AO28" s="398">
        <f t="shared" ref="AO28:AU28" si="16">SUM(AO17:AO27)</f>
        <v>6576051</v>
      </c>
      <c r="AP28" s="399">
        <f t="shared" si="16"/>
        <v>430672</v>
      </c>
      <c r="AQ28" s="907">
        <f t="shared" si="16"/>
        <v>447085</v>
      </c>
      <c r="AR28" s="397">
        <f t="shared" si="16"/>
        <v>750532</v>
      </c>
      <c r="AS28" s="398">
        <f t="shared" si="16"/>
        <v>663079</v>
      </c>
      <c r="AT28" s="399">
        <f t="shared" si="16"/>
        <v>3800496</v>
      </c>
      <c r="AU28" s="907">
        <f t="shared" si="16"/>
        <v>2946086</v>
      </c>
      <c r="AV28" s="399">
        <f>SUM(B28+D28+F28+H28+J28+L28+N28+P28+R28+T28+V28+X28+Z28+AB28+AD28+AF28+AH28+AJ28+AL28+AN28+AP28+AR28+AT28)</f>
        <v>39161425</v>
      </c>
      <c r="AW28" s="407">
        <f>SUM(C28+E28+G28+I28+K28+M28+O28+Q28+S28+U28+W28+Y28+AA28+AC28+AE28+AG28+AI28+AK28+AM28+AO28+AQ28+AS28+AU28)</f>
        <v>40068471</v>
      </c>
      <c r="AX28" s="401">
        <f>SUM(AX17:AX27)</f>
        <v>0</v>
      </c>
      <c r="AY28" s="915">
        <f>SUM(AY17:AY27)</f>
        <v>86145009</v>
      </c>
      <c r="AZ28" s="399">
        <f>AV28+AX28</f>
        <v>39161425</v>
      </c>
      <c r="BA28" s="402">
        <f>AW28+AY28</f>
        <v>126213480</v>
      </c>
    </row>
  </sheetData>
  <mergeCells count="29">
    <mergeCell ref="AP3:AQ3"/>
    <mergeCell ref="AR3:AS3"/>
    <mergeCell ref="AV3:AW3"/>
    <mergeCell ref="AX3:AY3"/>
    <mergeCell ref="AZ3:BA3"/>
    <mergeCell ref="P3:Q3"/>
    <mergeCell ref="AT3:AU3"/>
    <mergeCell ref="AD3:AE3"/>
    <mergeCell ref="AF3:AG3"/>
    <mergeCell ref="AH3:AI3"/>
    <mergeCell ref="AJ3:AK3"/>
    <mergeCell ref="AL3:AM3"/>
    <mergeCell ref="AN3:AO3"/>
    <mergeCell ref="R3:S3"/>
    <mergeCell ref="T3:U3"/>
    <mergeCell ref="V3:W3"/>
    <mergeCell ref="X3:Y3"/>
    <mergeCell ref="Z3:AA3"/>
    <mergeCell ref="AB3:AC3"/>
    <mergeCell ref="A1:AZ1"/>
    <mergeCell ref="A2:AZ2"/>
    <mergeCell ref="A3:A4"/>
    <mergeCell ref="N3:O3"/>
    <mergeCell ref="D3:E3"/>
    <mergeCell ref="F3:G3"/>
    <mergeCell ref="B3:C3"/>
    <mergeCell ref="H3:I3"/>
    <mergeCell ref="J3:K3"/>
    <mergeCell ref="L3:M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BA40"/>
  <sheetViews>
    <sheetView workbookViewId="0">
      <pane xSplit="1" topLeftCell="B1" activePane="topRight" state="frozen"/>
      <selection pane="topRight" activeCell="BC3" sqref="BC3"/>
    </sheetView>
  </sheetViews>
  <sheetFormatPr defaultRowHeight="16.5" x14ac:dyDescent="0.3"/>
  <cols>
    <col min="1" max="1" width="20" style="101" customWidth="1"/>
    <col min="2" max="3" width="12.42578125" style="101" bestFit="1" customWidth="1"/>
    <col min="4" max="4" width="11.42578125" style="101" bestFit="1" customWidth="1"/>
    <col min="5" max="5" width="12" style="101" customWidth="1"/>
    <col min="6" max="6" width="11.42578125" style="101" bestFit="1" customWidth="1"/>
    <col min="7" max="7" width="13.85546875" style="101" customWidth="1"/>
    <col min="8" max="8" width="9.7109375" style="101" customWidth="1"/>
    <col min="9" max="9" width="10.5703125" style="101" customWidth="1"/>
    <col min="10" max="10" width="11.42578125" style="101" bestFit="1" customWidth="1"/>
    <col min="11" max="11" width="12.42578125" style="101" bestFit="1" customWidth="1"/>
    <col min="12" max="12" width="11.42578125" style="101" bestFit="1" customWidth="1"/>
    <col min="13" max="13" width="12.42578125" style="101" bestFit="1" customWidth="1"/>
    <col min="14" max="14" width="11.42578125" style="101" bestFit="1" customWidth="1"/>
    <col min="15" max="15" width="13" style="101" bestFit="1" customWidth="1"/>
    <col min="16" max="16" width="10.85546875" style="101" customWidth="1"/>
    <col min="17" max="17" width="10" style="101" customWidth="1"/>
    <col min="18" max="18" width="10.5703125" style="101" customWidth="1"/>
    <col min="19" max="19" width="13" style="101" bestFit="1" customWidth="1"/>
    <col min="20" max="20" width="11.42578125" style="101" bestFit="1" customWidth="1"/>
    <col min="21" max="23" width="12.42578125" style="101" bestFit="1" customWidth="1"/>
    <col min="24" max="24" width="11.7109375" style="101" customWidth="1"/>
    <col min="25" max="25" width="11.28515625" style="101" customWidth="1"/>
    <col min="26" max="26" width="11.42578125" style="101" bestFit="1" customWidth="1"/>
    <col min="27" max="27" width="12.42578125" style="101" customWidth="1"/>
    <col min="28" max="28" width="11.85546875" style="101" bestFit="1" customWidth="1"/>
    <col min="29" max="29" width="13" style="101" bestFit="1" customWidth="1"/>
    <col min="30" max="30" width="11.5703125" style="101" customWidth="1"/>
    <col min="31" max="31" width="13" style="101" bestFit="1" customWidth="1"/>
    <col min="32" max="32" width="11.42578125" style="101" bestFit="1" customWidth="1"/>
    <col min="33" max="33" width="12.42578125" style="101" bestFit="1" customWidth="1"/>
    <col min="34" max="34" width="11.28515625" style="101" customWidth="1"/>
    <col min="35" max="35" width="11.42578125" style="101" customWidth="1"/>
    <col min="36" max="36" width="11.85546875" style="101" bestFit="1" customWidth="1"/>
    <col min="37" max="37" width="13" style="101" bestFit="1" customWidth="1"/>
    <col min="38" max="38" width="11.85546875" style="101" bestFit="1" customWidth="1"/>
    <col min="39" max="39" width="13" style="101" bestFit="1" customWidth="1"/>
    <col min="40" max="40" width="11.85546875" style="101" bestFit="1" customWidth="1"/>
    <col min="41" max="41" width="13" style="101" bestFit="1" customWidth="1"/>
    <col min="42" max="42" width="10.7109375" style="101" customWidth="1"/>
    <col min="43" max="43" width="13" style="101" bestFit="1" customWidth="1"/>
    <col min="44" max="44" width="12.42578125" style="101" bestFit="1" customWidth="1"/>
    <col min="45" max="45" width="10.85546875" style="101" customWidth="1"/>
    <col min="46" max="46" width="11.42578125" style="101" bestFit="1" customWidth="1"/>
    <col min="47" max="47" width="12.42578125" style="101" bestFit="1" customWidth="1"/>
    <col min="48" max="48" width="11.5703125" style="101" bestFit="1" customWidth="1"/>
    <col min="49" max="49" width="12.85546875" style="101" bestFit="1" customWidth="1"/>
    <col min="50" max="50" width="12" style="101" customWidth="1"/>
    <col min="51" max="51" width="13" style="101" bestFit="1" customWidth="1"/>
    <col min="52" max="52" width="11.5703125" style="101" bestFit="1" customWidth="1"/>
    <col min="53" max="53" width="12.85546875" style="101" bestFit="1" customWidth="1"/>
    <col min="54" max="16384" width="9.140625" style="101"/>
  </cols>
  <sheetData>
    <row r="1" spans="1:53" ht="18" x14ac:dyDescent="0.35">
      <c r="A1" s="1237" t="s">
        <v>150</v>
      </c>
      <c r="B1" s="1237"/>
      <c r="C1" s="1237"/>
      <c r="D1" s="1237"/>
      <c r="E1" s="1237"/>
      <c r="F1" s="1237"/>
      <c r="G1" s="1237"/>
      <c r="H1" s="1237"/>
      <c r="I1" s="1237"/>
      <c r="J1" s="1237"/>
      <c r="K1" s="1237"/>
      <c r="L1" s="1237"/>
      <c r="M1" s="1237"/>
      <c r="N1" s="1237"/>
      <c r="O1" s="1237"/>
      <c r="P1" s="1237"/>
      <c r="Q1" s="1237"/>
      <c r="R1" s="1237"/>
      <c r="S1" s="1237"/>
      <c r="T1" s="1237"/>
      <c r="U1" s="1237"/>
      <c r="V1" s="1237"/>
      <c r="W1" s="1237"/>
      <c r="X1" s="1237"/>
      <c r="Y1" s="1237"/>
      <c r="Z1" s="1237"/>
      <c r="AA1" s="1237"/>
      <c r="AB1" s="1237"/>
      <c r="AC1" s="1237"/>
      <c r="AD1" s="1237"/>
      <c r="AE1" s="1237"/>
      <c r="AF1" s="1237"/>
      <c r="AG1" s="1237"/>
      <c r="AH1" s="1237"/>
      <c r="AI1" s="1237"/>
      <c r="AJ1" s="1237"/>
      <c r="AK1" s="1237"/>
      <c r="AL1" s="1237"/>
      <c r="AM1" s="1237"/>
      <c r="AN1" s="1237"/>
      <c r="AO1" s="1237"/>
      <c r="AP1" s="1237"/>
      <c r="AQ1" s="1237"/>
      <c r="AR1" s="1237"/>
      <c r="AS1" s="1237"/>
      <c r="AT1" s="1237"/>
      <c r="AU1" s="1237"/>
      <c r="AV1" s="1237"/>
      <c r="AW1" s="1237"/>
      <c r="AX1" s="1237"/>
      <c r="AY1" s="1237"/>
      <c r="AZ1" s="1237"/>
    </row>
    <row r="2" spans="1:53" s="404" customFormat="1" ht="18.75" thickBot="1" x14ac:dyDescent="0.4">
      <c r="A2" s="1226" t="s">
        <v>76</v>
      </c>
      <c r="B2" s="1226"/>
      <c r="C2" s="1226"/>
      <c r="D2" s="1226"/>
      <c r="E2" s="1226"/>
      <c r="F2" s="1226"/>
      <c r="G2" s="1226"/>
      <c r="H2" s="1226"/>
      <c r="I2" s="1226"/>
      <c r="J2" s="1226"/>
      <c r="K2" s="1226"/>
      <c r="L2" s="1226"/>
      <c r="M2" s="1226"/>
      <c r="N2" s="1226"/>
      <c r="O2" s="1226"/>
      <c r="P2" s="1226"/>
      <c r="Q2" s="1226"/>
      <c r="R2" s="1226"/>
      <c r="S2" s="1226"/>
      <c r="T2" s="1226"/>
      <c r="U2" s="1226"/>
      <c r="V2" s="1226"/>
      <c r="W2" s="1226"/>
      <c r="X2" s="1226"/>
      <c r="Y2" s="1226"/>
      <c r="Z2" s="1226"/>
      <c r="AA2" s="1226"/>
      <c r="AB2" s="1226"/>
      <c r="AC2" s="1226"/>
      <c r="AD2" s="1226"/>
      <c r="AE2" s="1226"/>
      <c r="AF2" s="1226"/>
      <c r="AG2" s="1226"/>
      <c r="AH2" s="1226"/>
      <c r="AI2" s="1226"/>
      <c r="AJ2" s="1226"/>
      <c r="AK2" s="1226"/>
      <c r="AL2" s="1226"/>
      <c r="AM2" s="1226"/>
      <c r="AN2" s="1226"/>
      <c r="AO2" s="1226"/>
      <c r="AP2" s="1226"/>
      <c r="AQ2" s="1226"/>
      <c r="AR2" s="1226"/>
      <c r="AS2" s="1226"/>
      <c r="AT2" s="1226"/>
      <c r="AU2" s="1226"/>
      <c r="AV2" s="1226"/>
      <c r="AW2" s="1226"/>
      <c r="AX2" s="1226"/>
      <c r="AY2" s="1226"/>
      <c r="AZ2" s="1226"/>
    </row>
    <row r="3" spans="1:53" s="597" customFormat="1" ht="39" customHeight="1" thickBot="1" x14ac:dyDescent="0.3">
      <c r="A3" s="1238" t="s">
        <v>0</v>
      </c>
      <c r="B3" s="1240" t="s">
        <v>153</v>
      </c>
      <c r="C3" s="1241"/>
      <c r="D3" s="1233" t="s">
        <v>154</v>
      </c>
      <c r="E3" s="1234"/>
      <c r="F3" s="1233" t="s">
        <v>155</v>
      </c>
      <c r="G3" s="1234"/>
      <c r="H3" s="1233" t="s">
        <v>156</v>
      </c>
      <c r="I3" s="1234"/>
      <c r="J3" s="1233" t="s">
        <v>157</v>
      </c>
      <c r="K3" s="1234"/>
      <c r="L3" s="1233" t="s">
        <v>158</v>
      </c>
      <c r="M3" s="1234"/>
      <c r="N3" s="1233" t="s">
        <v>291</v>
      </c>
      <c r="O3" s="1234"/>
      <c r="P3" s="1233" t="s">
        <v>159</v>
      </c>
      <c r="Q3" s="1234"/>
      <c r="R3" s="1233" t="s">
        <v>160</v>
      </c>
      <c r="S3" s="1234"/>
      <c r="T3" s="1233" t="s">
        <v>161</v>
      </c>
      <c r="U3" s="1234"/>
      <c r="V3" s="1233" t="s">
        <v>162</v>
      </c>
      <c r="W3" s="1234"/>
      <c r="X3" s="1233" t="s">
        <v>163</v>
      </c>
      <c r="Y3" s="1234"/>
      <c r="Z3" s="1233" t="s">
        <v>164</v>
      </c>
      <c r="AA3" s="1234"/>
      <c r="AB3" s="1233" t="s">
        <v>165</v>
      </c>
      <c r="AC3" s="1234"/>
      <c r="AD3" s="1233" t="s">
        <v>166</v>
      </c>
      <c r="AE3" s="1234"/>
      <c r="AF3" s="1233" t="s">
        <v>167</v>
      </c>
      <c r="AG3" s="1234"/>
      <c r="AH3" s="1233" t="s">
        <v>168</v>
      </c>
      <c r="AI3" s="1234"/>
      <c r="AJ3" s="1233" t="s">
        <v>169</v>
      </c>
      <c r="AK3" s="1234"/>
      <c r="AL3" s="1233" t="s">
        <v>170</v>
      </c>
      <c r="AM3" s="1234"/>
      <c r="AN3" s="1233" t="s">
        <v>171</v>
      </c>
      <c r="AO3" s="1234"/>
      <c r="AP3" s="1235" t="s">
        <v>172</v>
      </c>
      <c r="AQ3" s="1236"/>
      <c r="AR3" s="1244" t="s">
        <v>173</v>
      </c>
      <c r="AS3" s="1245"/>
      <c r="AT3" s="1233" t="s">
        <v>174</v>
      </c>
      <c r="AU3" s="1234"/>
      <c r="AV3" s="1233" t="s">
        <v>1</v>
      </c>
      <c r="AW3" s="1234"/>
      <c r="AX3" s="1235" t="s">
        <v>175</v>
      </c>
      <c r="AY3" s="1236"/>
      <c r="AZ3" s="1242" t="s">
        <v>2</v>
      </c>
      <c r="BA3" s="1243"/>
    </row>
    <row r="4" spans="1:53" s="405" customFormat="1" ht="15" customHeight="1" thickBot="1" x14ac:dyDescent="0.35">
      <c r="A4" s="1239"/>
      <c r="B4" s="440" t="s">
        <v>290</v>
      </c>
      <c r="C4" s="423" t="s">
        <v>279</v>
      </c>
      <c r="D4" s="440" t="s">
        <v>290</v>
      </c>
      <c r="E4" s="423" t="s">
        <v>279</v>
      </c>
      <c r="F4" s="440" t="s">
        <v>290</v>
      </c>
      <c r="G4" s="423" t="s">
        <v>279</v>
      </c>
      <c r="H4" s="440" t="s">
        <v>290</v>
      </c>
      <c r="I4" s="423" t="s">
        <v>279</v>
      </c>
      <c r="J4" s="440" t="s">
        <v>290</v>
      </c>
      <c r="K4" s="423" t="s">
        <v>279</v>
      </c>
      <c r="L4" s="440" t="s">
        <v>290</v>
      </c>
      <c r="M4" s="423" t="s">
        <v>279</v>
      </c>
      <c r="N4" s="440" t="s">
        <v>290</v>
      </c>
      <c r="O4" s="423" t="s">
        <v>279</v>
      </c>
      <c r="P4" s="440" t="s">
        <v>290</v>
      </c>
      <c r="Q4" s="423" t="s">
        <v>279</v>
      </c>
      <c r="R4" s="440" t="s">
        <v>290</v>
      </c>
      <c r="S4" s="423" t="s">
        <v>279</v>
      </c>
      <c r="T4" s="440" t="s">
        <v>290</v>
      </c>
      <c r="U4" s="423" t="s">
        <v>279</v>
      </c>
      <c r="V4" s="440" t="s">
        <v>290</v>
      </c>
      <c r="W4" s="423" t="s">
        <v>279</v>
      </c>
      <c r="X4" s="440" t="s">
        <v>290</v>
      </c>
      <c r="Y4" s="423" t="s">
        <v>279</v>
      </c>
      <c r="Z4" s="440" t="s">
        <v>290</v>
      </c>
      <c r="AA4" s="423" t="s">
        <v>279</v>
      </c>
      <c r="AB4" s="440" t="s">
        <v>290</v>
      </c>
      <c r="AC4" s="423" t="s">
        <v>279</v>
      </c>
      <c r="AD4" s="440" t="s">
        <v>290</v>
      </c>
      <c r="AE4" s="423" t="s">
        <v>279</v>
      </c>
      <c r="AF4" s="440" t="s">
        <v>290</v>
      </c>
      <c r="AG4" s="423" t="s">
        <v>279</v>
      </c>
      <c r="AH4" s="440" t="s">
        <v>290</v>
      </c>
      <c r="AI4" s="423" t="s">
        <v>279</v>
      </c>
      <c r="AJ4" s="440" t="s">
        <v>290</v>
      </c>
      <c r="AK4" s="423" t="s">
        <v>279</v>
      </c>
      <c r="AL4" s="440" t="s">
        <v>290</v>
      </c>
      <c r="AM4" s="423" t="s">
        <v>279</v>
      </c>
      <c r="AN4" s="440" t="s">
        <v>290</v>
      </c>
      <c r="AO4" s="423" t="s">
        <v>279</v>
      </c>
      <c r="AP4" s="440" t="s">
        <v>290</v>
      </c>
      <c r="AQ4" s="423" t="s">
        <v>279</v>
      </c>
      <c r="AR4" s="440" t="s">
        <v>290</v>
      </c>
      <c r="AS4" s="423" t="s">
        <v>279</v>
      </c>
      <c r="AT4" s="440" t="s">
        <v>290</v>
      </c>
      <c r="AU4" s="423" t="s">
        <v>279</v>
      </c>
      <c r="AV4" s="440" t="s">
        <v>290</v>
      </c>
      <c r="AW4" s="423" t="s">
        <v>279</v>
      </c>
      <c r="AX4" s="440" t="s">
        <v>290</v>
      </c>
      <c r="AY4" s="423" t="s">
        <v>279</v>
      </c>
      <c r="AZ4" s="440" t="s">
        <v>290</v>
      </c>
      <c r="BA4" s="584" t="s">
        <v>279</v>
      </c>
    </row>
    <row r="5" spans="1:53" ht="15" customHeight="1" x14ac:dyDescent="0.3">
      <c r="A5" s="509" t="s">
        <v>77</v>
      </c>
      <c r="B5" s="508">
        <v>3110095</v>
      </c>
      <c r="C5" s="739">
        <v>3490567</v>
      </c>
      <c r="D5" s="508">
        <v>462907</v>
      </c>
      <c r="E5" s="739">
        <v>448409</v>
      </c>
      <c r="F5" s="158"/>
      <c r="G5" s="739">
        <v>828839</v>
      </c>
      <c r="H5" s="508">
        <v>4867469</v>
      </c>
      <c r="I5" s="739">
        <v>5412756</v>
      </c>
      <c r="J5" s="508">
        <v>1430958</v>
      </c>
      <c r="K5" s="739">
        <v>1457081</v>
      </c>
      <c r="L5" s="508">
        <v>1650981</v>
      </c>
      <c r="M5" s="739">
        <v>1400986</v>
      </c>
      <c r="N5" s="508">
        <v>765561</v>
      </c>
      <c r="O5" s="739">
        <v>1021054</v>
      </c>
      <c r="P5" s="508">
        <v>1466393</v>
      </c>
      <c r="Q5" s="739">
        <v>1515487</v>
      </c>
      <c r="R5" s="508">
        <v>1472102</v>
      </c>
      <c r="S5" s="739">
        <v>1780247</v>
      </c>
      <c r="T5" s="508">
        <v>1741052</v>
      </c>
      <c r="U5" s="739">
        <v>1704334</v>
      </c>
      <c r="V5" s="508">
        <v>7072066</v>
      </c>
      <c r="W5" s="739">
        <v>8248825</v>
      </c>
      <c r="X5" s="508">
        <v>4351861</v>
      </c>
      <c r="Y5" s="739">
        <v>5269857</v>
      </c>
      <c r="Z5" s="508">
        <v>497095</v>
      </c>
      <c r="AA5" s="739">
        <v>612545</v>
      </c>
      <c r="AB5" s="508">
        <v>1253619</v>
      </c>
      <c r="AC5" s="739">
        <v>1040756</v>
      </c>
      <c r="AD5" s="508">
        <v>4439059</v>
      </c>
      <c r="AE5" s="739">
        <v>4025954</v>
      </c>
      <c r="AF5" s="508">
        <v>6546346</v>
      </c>
      <c r="AG5" s="739">
        <v>6057559</v>
      </c>
      <c r="AH5" s="508">
        <v>3009512</v>
      </c>
      <c r="AI5" s="739">
        <v>2890966</v>
      </c>
      <c r="AJ5" s="508">
        <v>3425001</v>
      </c>
      <c r="AK5" s="739">
        <v>3379678</v>
      </c>
      <c r="AL5" s="508"/>
      <c r="AM5" s="739"/>
      <c r="AN5" s="754">
        <v>7213128</v>
      </c>
      <c r="AO5" s="751">
        <v>6283203</v>
      </c>
      <c r="AP5" s="508">
        <v>1544121</v>
      </c>
      <c r="AQ5" s="739">
        <v>1432359</v>
      </c>
      <c r="AR5" s="508">
        <v>1242910</v>
      </c>
      <c r="AS5" s="739">
        <v>1098288</v>
      </c>
      <c r="AT5" s="508">
        <v>3388422</v>
      </c>
      <c r="AU5" s="739">
        <v>3157094</v>
      </c>
      <c r="AV5" s="508">
        <f>SUM(B5+D5+F5+H5+J5+L5+N5+P5+R5+T5+V5+X5+Z5+AB5+AD5+AF5+AH5+AJ5+AL5+AN5+AP5+AR5+AT5)</f>
        <v>60950658</v>
      </c>
      <c r="AW5" s="508">
        <f>SUM(C5+E5+G5+I5+K5+M5+O5+Q5+S5+U5+W5+Y5+AA5+AC5+AE5+AG5+AI5+AK5+AM5+AO5+AQ5+AS5+AU5)</f>
        <v>62556844</v>
      </c>
      <c r="AX5" s="508"/>
      <c r="AY5" s="739">
        <v>111774640</v>
      </c>
      <c r="AZ5" s="159">
        <f>AV5+AX5</f>
        <v>60950658</v>
      </c>
      <c r="BA5" s="159">
        <f>AW5+AY5</f>
        <v>174331484</v>
      </c>
    </row>
    <row r="6" spans="1:53" x14ac:dyDescent="0.3">
      <c r="A6" s="152" t="s">
        <v>78</v>
      </c>
      <c r="B6" s="153">
        <v>19813</v>
      </c>
      <c r="C6" s="739">
        <v>120021</v>
      </c>
      <c r="D6" s="158">
        <v>1025</v>
      </c>
      <c r="E6" s="739">
        <v>28133</v>
      </c>
      <c r="F6" s="158"/>
      <c r="G6" s="739">
        <v>16827</v>
      </c>
      <c r="H6" s="158">
        <v>11807</v>
      </c>
      <c r="I6" s="739">
        <v>155523</v>
      </c>
      <c r="J6" s="158">
        <v>6394</v>
      </c>
      <c r="K6" s="739">
        <v>45029</v>
      </c>
      <c r="L6" s="158">
        <v>50292</v>
      </c>
      <c r="M6" s="739">
        <v>71100</v>
      </c>
      <c r="N6" s="158">
        <v>1197</v>
      </c>
      <c r="O6" s="739">
        <v>24374</v>
      </c>
      <c r="P6" s="158">
        <v>24714</v>
      </c>
      <c r="Q6" s="739">
        <v>81114</v>
      </c>
      <c r="R6" s="158">
        <v>5834</v>
      </c>
      <c r="S6" s="739">
        <v>83328</v>
      </c>
      <c r="T6" s="158">
        <v>4223</v>
      </c>
      <c r="U6" s="739">
        <v>80669</v>
      </c>
      <c r="V6" s="158">
        <v>6980</v>
      </c>
      <c r="W6" s="739">
        <v>183439</v>
      </c>
      <c r="X6" s="158">
        <v>17125</v>
      </c>
      <c r="Y6" s="739">
        <v>318192</v>
      </c>
      <c r="Z6" s="256">
        <v>7017</v>
      </c>
      <c r="AA6" s="739">
        <v>26300</v>
      </c>
      <c r="AB6" s="158">
        <v>33818</v>
      </c>
      <c r="AC6" s="739">
        <v>70138</v>
      </c>
      <c r="AD6" s="158">
        <v>27348</v>
      </c>
      <c r="AE6" s="739">
        <v>105010</v>
      </c>
      <c r="AF6" s="158">
        <v>83700</v>
      </c>
      <c r="AG6" s="739">
        <v>297095</v>
      </c>
      <c r="AH6" s="158">
        <v>6063</v>
      </c>
      <c r="AI6" s="739">
        <v>65862</v>
      </c>
      <c r="AJ6" s="158">
        <v>1173</v>
      </c>
      <c r="AK6" s="739">
        <v>108142</v>
      </c>
      <c r="AL6" s="489"/>
      <c r="AM6" s="739"/>
      <c r="AN6" s="755">
        <v>161861</v>
      </c>
      <c r="AO6" s="751">
        <v>341409</v>
      </c>
      <c r="AP6" s="490">
        <v>65468</v>
      </c>
      <c r="AQ6" s="739">
        <v>117948</v>
      </c>
      <c r="AR6" s="157">
        <v>6746</v>
      </c>
      <c r="AS6" s="739">
        <v>31583</v>
      </c>
      <c r="AT6" s="158">
        <v>48845</v>
      </c>
      <c r="AU6" s="739">
        <v>223441</v>
      </c>
      <c r="AV6" s="508">
        <f t="shared" ref="AV6:AV37" si="0">SUM(B6+D6+F6+H6+J6+L6+N6+P6+R6+T6+V6+X6+Z6+AB6+AD6+AF6+AH6+AJ6+AL6+AN6+AP6+AR6+AT6)</f>
        <v>591443</v>
      </c>
      <c r="AW6" s="508">
        <f t="shared" ref="AW6:AW37" si="1">SUM(C6+E6+G6+I6+K6+M6+O6+Q6+S6+U6+W6+Y6+AA6+AC6+AE6+AG6+AI6+AK6+AM6+AO6+AQ6+AS6+AU6)</f>
        <v>2594677</v>
      </c>
      <c r="AX6" s="157"/>
      <c r="AY6" s="739">
        <v>1559268</v>
      </c>
      <c r="AZ6" s="159">
        <f t="shared" ref="AZ6:AZ37" si="2">AV6+AX6</f>
        <v>591443</v>
      </c>
      <c r="BA6" s="159">
        <f t="shared" ref="BA6:BA37" si="3">AW6+AY6</f>
        <v>4153945</v>
      </c>
    </row>
    <row r="7" spans="1:53" x14ac:dyDescent="0.3">
      <c r="A7" s="152" t="s">
        <v>79</v>
      </c>
      <c r="B7" s="153">
        <v>48674</v>
      </c>
      <c r="C7" s="739">
        <v>91558</v>
      </c>
      <c r="D7" s="158">
        <v>-7</v>
      </c>
      <c r="E7" s="739">
        <v>3086</v>
      </c>
      <c r="F7" s="158"/>
      <c r="G7" s="739">
        <v>6210</v>
      </c>
      <c r="H7" s="158">
        <v>11230</v>
      </c>
      <c r="I7" s="739">
        <v>212431</v>
      </c>
      <c r="J7" s="158">
        <v>1145</v>
      </c>
      <c r="K7" s="739">
        <v>2374</v>
      </c>
      <c r="L7" s="158">
        <v>32859</v>
      </c>
      <c r="M7" s="739">
        <v>122864</v>
      </c>
      <c r="N7" s="158">
        <v>4572</v>
      </c>
      <c r="O7" s="739">
        <v>8843</v>
      </c>
      <c r="P7" s="158">
        <v>22595</v>
      </c>
      <c r="Q7" s="739">
        <v>41893</v>
      </c>
      <c r="R7" s="158"/>
      <c r="S7" s="739"/>
      <c r="T7" s="158">
        <v>49206</v>
      </c>
      <c r="U7" s="739">
        <v>39519</v>
      </c>
      <c r="V7" s="158">
        <v>426201</v>
      </c>
      <c r="W7" s="739">
        <v>645827</v>
      </c>
      <c r="X7" s="158">
        <v>15715</v>
      </c>
      <c r="Y7" s="739">
        <v>36633</v>
      </c>
      <c r="Z7" s="256">
        <v>621</v>
      </c>
      <c r="AA7" s="739">
        <v>3688</v>
      </c>
      <c r="AB7" s="158">
        <v>31836</v>
      </c>
      <c r="AC7" s="739">
        <v>68206</v>
      </c>
      <c r="AD7" s="158"/>
      <c r="AE7" s="739"/>
      <c r="AF7" s="158">
        <v>458726</v>
      </c>
      <c r="AG7" s="739">
        <v>676066</v>
      </c>
      <c r="AH7" s="158">
        <v>3091</v>
      </c>
      <c r="AI7" s="739">
        <v>68380</v>
      </c>
      <c r="AJ7" s="158">
        <v>36605</v>
      </c>
      <c r="AK7" s="739">
        <v>88151</v>
      </c>
      <c r="AL7" s="489"/>
      <c r="AM7" s="739"/>
      <c r="AN7" s="755">
        <v>85564</v>
      </c>
      <c r="AO7" s="751">
        <v>342935</v>
      </c>
      <c r="AP7" s="490">
        <v>12194</v>
      </c>
      <c r="AQ7" s="739">
        <v>43404</v>
      </c>
      <c r="AR7" s="157">
        <v>30107</v>
      </c>
      <c r="AS7" s="739">
        <v>98457</v>
      </c>
      <c r="AT7" s="158">
        <v>17627</v>
      </c>
      <c r="AU7" s="739">
        <v>306286</v>
      </c>
      <c r="AV7" s="508">
        <f t="shared" si="0"/>
        <v>1288561</v>
      </c>
      <c r="AW7" s="508">
        <f t="shared" si="1"/>
        <v>2906811</v>
      </c>
      <c r="AX7" s="157"/>
      <c r="AY7" s="739">
        <v>101856</v>
      </c>
      <c r="AZ7" s="159">
        <f t="shared" si="2"/>
        <v>1288561</v>
      </c>
      <c r="BA7" s="159">
        <f t="shared" si="3"/>
        <v>3008667</v>
      </c>
    </row>
    <row r="8" spans="1:53" x14ac:dyDescent="0.3">
      <c r="A8" s="152" t="s">
        <v>80</v>
      </c>
      <c r="B8" s="153">
        <v>253716</v>
      </c>
      <c r="C8" s="739">
        <v>274144</v>
      </c>
      <c r="D8" s="158">
        <v>40921</v>
      </c>
      <c r="E8" s="739">
        <v>45261</v>
      </c>
      <c r="F8" s="158"/>
      <c r="G8" s="739">
        <v>170952</v>
      </c>
      <c r="H8" s="158">
        <v>110215</v>
      </c>
      <c r="I8" s="739">
        <v>106271</v>
      </c>
      <c r="J8" s="158">
        <v>127552</v>
      </c>
      <c r="K8" s="739">
        <v>95547</v>
      </c>
      <c r="L8" s="158">
        <v>185998</v>
      </c>
      <c r="M8" s="739">
        <v>103718</v>
      </c>
      <c r="N8" s="158">
        <v>89840</v>
      </c>
      <c r="O8" s="739">
        <v>97540</v>
      </c>
      <c r="P8" s="158">
        <v>121320</v>
      </c>
      <c r="Q8" s="739">
        <v>102156</v>
      </c>
      <c r="R8" s="158">
        <v>220224</v>
      </c>
      <c r="S8" s="739">
        <v>227325</v>
      </c>
      <c r="T8" s="158">
        <v>133013</v>
      </c>
      <c r="U8" s="739">
        <v>145346</v>
      </c>
      <c r="V8" s="158">
        <v>530516</v>
      </c>
      <c r="W8" s="739">
        <v>422338</v>
      </c>
      <c r="X8" s="158">
        <v>797063</v>
      </c>
      <c r="Y8" s="739">
        <v>837524</v>
      </c>
      <c r="Z8" s="256">
        <v>40448</v>
      </c>
      <c r="AA8" s="739">
        <v>42618</v>
      </c>
      <c r="AB8" s="158">
        <v>105252</v>
      </c>
      <c r="AC8" s="739">
        <v>56567</v>
      </c>
      <c r="AD8" s="158">
        <v>252671</v>
      </c>
      <c r="AE8" s="739">
        <v>268158</v>
      </c>
      <c r="AF8" s="158">
        <v>420010</v>
      </c>
      <c r="AG8" s="739">
        <v>412809</v>
      </c>
      <c r="AH8" s="158">
        <v>257769</v>
      </c>
      <c r="AI8" s="739">
        <v>272541</v>
      </c>
      <c r="AJ8" s="158">
        <v>225441</v>
      </c>
      <c r="AK8" s="739">
        <v>235422</v>
      </c>
      <c r="AL8" s="489"/>
      <c r="AM8" s="739"/>
      <c r="AN8" s="755">
        <v>438096</v>
      </c>
      <c r="AO8" s="751">
        <v>398980</v>
      </c>
      <c r="AP8" s="490">
        <v>82169</v>
      </c>
      <c r="AQ8" s="739">
        <v>103349</v>
      </c>
      <c r="AR8" s="157">
        <v>74026</v>
      </c>
      <c r="AS8" s="739">
        <v>73564</v>
      </c>
      <c r="AT8" s="158">
        <v>144759</v>
      </c>
      <c r="AU8" s="739">
        <v>156305</v>
      </c>
      <c r="AV8" s="508">
        <f t="shared" si="0"/>
        <v>4651019</v>
      </c>
      <c r="AW8" s="508">
        <f t="shared" si="1"/>
        <v>4648435</v>
      </c>
      <c r="AX8" s="157"/>
      <c r="AY8" s="739">
        <v>2568992</v>
      </c>
      <c r="AZ8" s="159">
        <f t="shared" si="2"/>
        <v>4651019</v>
      </c>
      <c r="BA8" s="159">
        <f t="shared" si="3"/>
        <v>7217427</v>
      </c>
    </row>
    <row r="9" spans="1:53" x14ac:dyDescent="0.3">
      <c r="A9" s="152" t="s">
        <v>81</v>
      </c>
      <c r="B9" s="153">
        <v>122585</v>
      </c>
      <c r="C9" s="739">
        <v>129607</v>
      </c>
      <c r="D9" s="158">
        <v>618</v>
      </c>
      <c r="E9" s="739">
        <v>3448</v>
      </c>
      <c r="F9" s="158"/>
      <c r="G9" s="739">
        <v>61769</v>
      </c>
      <c r="H9" s="158">
        <v>130445</v>
      </c>
      <c r="I9" s="739">
        <v>161848</v>
      </c>
      <c r="J9" s="158">
        <v>11411</v>
      </c>
      <c r="K9" s="739">
        <v>13064</v>
      </c>
      <c r="L9" s="158">
        <v>10492</v>
      </c>
      <c r="M9" s="739">
        <v>15082</v>
      </c>
      <c r="N9" s="158">
        <v>31469</v>
      </c>
      <c r="O9" s="739">
        <v>51945</v>
      </c>
      <c r="P9" s="158">
        <v>45068</v>
      </c>
      <c r="Q9" s="739">
        <v>67979</v>
      </c>
      <c r="R9" s="158">
        <v>168217</v>
      </c>
      <c r="S9" s="739">
        <v>171537</v>
      </c>
      <c r="T9" s="158">
        <v>45834</v>
      </c>
      <c r="U9" s="739">
        <v>62109</v>
      </c>
      <c r="V9" s="158">
        <v>7750</v>
      </c>
      <c r="W9" s="739">
        <v>22232</v>
      </c>
      <c r="X9" s="158">
        <v>167762</v>
      </c>
      <c r="Y9" s="739">
        <v>178303</v>
      </c>
      <c r="Z9" s="256">
        <v>19438</v>
      </c>
      <c r="AA9" s="739">
        <v>16098</v>
      </c>
      <c r="AB9" s="158">
        <v>14638</v>
      </c>
      <c r="AC9" s="739">
        <v>15086</v>
      </c>
      <c r="AD9" s="158">
        <v>106180</v>
      </c>
      <c r="AE9" s="739">
        <v>107688</v>
      </c>
      <c r="AF9" s="158">
        <v>170688</v>
      </c>
      <c r="AG9" s="739">
        <v>197361</v>
      </c>
      <c r="AH9" s="158">
        <v>12495</v>
      </c>
      <c r="AI9" s="739">
        <v>12299</v>
      </c>
      <c r="AJ9" s="158">
        <v>115503</v>
      </c>
      <c r="AK9" s="739">
        <v>134882</v>
      </c>
      <c r="AL9" s="489"/>
      <c r="AM9" s="739"/>
      <c r="AN9" s="755">
        <v>325413</v>
      </c>
      <c r="AO9" s="751">
        <v>319549</v>
      </c>
      <c r="AP9" s="490">
        <v>539</v>
      </c>
      <c r="AQ9" s="739">
        <v>1740</v>
      </c>
      <c r="AR9" s="157">
        <v>68080</v>
      </c>
      <c r="AS9" s="739">
        <v>69197</v>
      </c>
      <c r="AT9" s="158">
        <v>97261</v>
      </c>
      <c r="AU9" s="739">
        <v>110226</v>
      </c>
      <c r="AV9" s="508">
        <f t="shared" si="0"/>
        <v>1671886</v>
      </c>
      <c r="AW9" s="508">
        <f t="shared" si="1"/>
        <v>1923049</v>
      </c>
      <c r="AX9" s="157"/>
      <c r="AY9" s="739">
        <v>412769</v>
      </c>
      <c r="AZ9" s="159">
        <f t="shared" si="2"/>
        <v>1671886</v>
      </c>
      <c r="BA9" s="159">
        <f t="shared" si="3"/>
        <v>2335818</v>
      </c>
    </row>
    <row r="10" spans="1:53" x14ac:dyDescent="0.3">
      <c r="A10" s="152" t="s">
        <v>82</v>
      </c>
      <c r="B10" s="153">
        <v>8817</v>
      </c>
      <c r="C10" s="739">
        <v>19928</v>
      </c>
      <c r="D10" s="158">
        <v>1771</v>
      </c>
      <c r="E10" s="739">
        <v>4033</v>
      </c>
      <c r="F10" s="158"/>
      <c r="G10" s="739">
        <v>6693</v>
      </c>
      <c r="H10" s="158">
        <v>47501</v>
      </c>
      <c r="I10" s="739">
        <v>48649</v>
      </c>
      <c r="J10" s="158">
        <v>13464</v>
      </c>
      <c r="K10" s="739">
        <v>32513</v>
      </c>
      <c r="L10" s="158">
        <v>12750</v>
      </c>
      <c r="M10" s="739">
        <v>10786</v>
      </c>
      <c r="N10" s="158">
        <v>1422</v>
      </c>
      <c r="O10" s="739">
        <v>2272</v>
      </c>
      <c r="P10" s="158">
        <v>5350</v>
      </c>
      <c r="Q10" s="739">
        <v>10356</v>
      </c>
      <c r="R10" s="158">
        <v>9544</v>
      </c>
      <c r="S10" s="739">
        <v>23111</v>
      </c>
      <c r="T10" s="158">
        <v>3179</v>
      </c>
      <c r="U10" s="739">
        <v>10172</v>
      </c>
      <c r="V10" s="158">
        <v>39721</v>
      </c>
      <c r="W10" s="739">
        <v>59155</v>
      </c>
      <c r="X10" s="158">
        <v>12876</v>
      </c>
      <c r="Y10" s="739">
        <v>43259</v>
      </c>
      <c r="Z10" s="158">
        <v>1036</v>
      </c>
      <c r="AA10" s="739">
        <v>798</v>
      </c>
      <c r="AB10" s="158">
        <v>4524</v>
      </c>
      <c r="AC10" s="739">
        <v>9180</v>
      </c>
      <c r="AD10" s="158">
        <v>31764</v>
      </c>
      <c r="AE10" s="739">
        <v>50870</v>
      </c>
      <c r="AF10" s="158">
        <v>33901</v>
      </c>
      <c r="AG10" s="739">
        <v>48163</v>
      </c>
      <c r="AH10" s="158">
        <v>16549</v>
      </c>
      <c r="AI10" s="739">
        <v>22470</v>
      </c>
      <c r="AJ10" s="158">
        <v>7192</v>
      </c>
      <c r="AK10" s="739">
        <v>5762</v>
      </c>
      <c r="AL10" s="489"/>
      <c r="AM10" s="739"/>
      <c r="AN10" s="755">
        <v>19923</v>
      </c>
      <c r="AO10" s="751">
        <v>101976</v>
      </c>
      <c r="AP10" s="490">
        <v>10713</v>
      </c>
      <c r="AQ10" s="739">
        <v>22674</v>
      </c>
      <c r="AR10" s="157">
        <v>4265</v>
      </c>
      <c r="AS10" s="739">
        <v>6427</v>
      </c>
      <c r="AT10" s="158">
        <v>17572</v>
      </c>
      <c r="AU10" s="739">
        <v>24782</v>
      </c>
      <c r="AV10" s="508">
        <f t="shared" si="0"/>
        <v>303834</v>
      </c>
      <c r="AW10" s="508">
        <f t="shared" si="1"/>
        <v>564029</v>
      </c>
      <c r="AX10" s="158"/>
      <c r="AY10" s="739">
        <v>1259670</v>
      </c>
      <c r="AZ10" s="159">
        <f t="shared" si="2"/>
        <v>303834</v>
      </c>
      <c r="BA10" s="159">
        <f t="shared" si="3"/>
        <v>1823699</v>
      </c>
    </row>
    <row r="11" spans="1:53" x14ac:dyDescent="0.3">
      <c r="A11" s="152" t="s">
        <v>83</v>
      </c>
      <c r="B11" s="153">
        <v>39359</v>
      </c>
      <c r="C11" s="739">
        <v>50291</v>
      </c>
      <c r="D11" s="158">
        <v>5705</v>
      </c>
      <c r="E11" s="739">
        <v>8140</v>
      </c>
      <c r="F11" s="158"/>
      <c r="G11" s="739">
        <v>17860</v>
      </c>
      <c r="H11" s="158">
        <v>10886</v>
      </c>
      <c r="I11" s="739">
        <v>30918</v>
      </c>
      <c r="J11" s="158">
        <v>12155</v>
      </c>
      <c r="K11" s="739">
        <v>11913</v>
      </c>
      <c r="L11" s="158">
        <v>193483</v>
      </c>
      <c r="M11" s="739">
        <v>85612</v>
      </c>
      <c r="N11" s="158">
        <v>13749</v>
      </c>
      <c r="O11" s="739">
        <v>19972</v>
      </c>
      <c r="P11" s="158">
        <v>20811</v>
      </c>
      <c r="Q11" s="739">
        <v>29786</v>
      </c>
      <c r="R11" s="158">
        <v>15593</v>
      </c>
      <c r="S11" s="739">
        <v>17331</v>
      </c>
      <c r="T11" s="158">
        <v>23459</v>
      </c>
      <c r="U11" s="739">
        <v>35818</v>
      </c>
      <c r="V11" s="158">
        <v>85427</v>
      </c>
      <c r="W11" s="739">
        <v>119710</v>
      </c>
      <c r="X11" s="158">
        <v>550350</v>
      </c>
      <c r="Y11" s="739">
        <v>659072</v>
      </c>
      <c r="Z11" s="158">
        <v>4077</v>
      </c>
      <c r="AA11" s="739">
        <v>10270</v>
      </c>
      <c r="AB11" s="158">
        <v>40879</v>
      </c>
      <c r="AC11" s="739">
        <v>37060</v>
      </c>
      <c r="AD11" s="536">
        <v>47867</v>
      </c>
      <c r="AE11" s="739">
        <v>58152</v>
      </c>
      <c r="AF11" s="158">
        <v>288734</v>
      </c>
      <c r="AG11" s="739">
        <v>278041</v>
      </c>
      <c r="AH11" s="158">
        <v>71562</v>
      </c>
      <c r="AI11" s="739">
        <v>70530</v>
      </c>
      <c r="AJ11" s="158">
        <v>11132</v>
      </c>
      <c r="AK11" s="739">
        <v>23976</v>
      </c>
      <c r="AL11" s="489"/>
      <c r="AM11" s="739"/>
      <c r="AN11" s="755">
        <v>174948</v>
      </c>
      <c r="AO11" s="751">
        <v>287507</v>
      </c>
      <c r="AP11" s="490">
        <v>36885</v>
      </c>
      <c r="AQ11" s="739">
        <v>37229</v>
      </c>
      <c r="AR11" s="157">
        <v>11231</v>
      </c>
      <c r="AS11" s="739">
        <v>12986</v>
      </c>
      <c r="AT11" s="158">
        <v>98528</v>
      </c>
      <c r="AU11" s="739">
        <v>81396</v>
      </c>
      <c r="AV11" s="508">
        <f t="shared" si="0"/>
        <v>1756820</v>
      </c>
      <c r="AW11" s="508">
        <f t="shared" si="1"/>
        <v>1983570</v>
      </c>
      <c r="AX11" s="157"/>
      <c r="AY11" s="739">
        <v>1063111</v>
      </c>
      <c r="AZ11" s="159">
        <f t="shared" si="2"/>
        <v>1756820</v>
      </c>
      <c r="BA11" s="159">
        <f t="shared" si="3"/>
        <v>3046681</v>
      </c>
    </row>
    <row r="12" spans="1:53" x14ac:dyDescent="0.3">
      <c r="A12" s="152" t="s">
        <v>84</v>
      </c>
      <c r="B12" s="153">
        <v>44596</v>
      </c>
      <c r="C12" s="739">
        <v>47175</v>
      </c>
      <c r="D12" s="158">
        <v>14275</v>
      </c>
      <c r="E12" s="739">
        <v>16297</v>
      </c>
      <c r="F12" s="158"/>
      <c r="G12" s="739">
        <v>58528</v>
      </c>
      <c r="H12" s="158">
        <v>239061</v>
      </c>
      <c r="I12" s="739">
        <v>368917</v>
      </c>
      <c r="J12" s="158">
        <v>142353</v>
      </c>
      <c r="K12" s="739">
        <v>105419</v>
      </c>
      <c r="L12" s="158">
        <v>56734</v>
      </c>
      <c r="M12" s="739">
        <v>46649</v>
      </c>
      <c r="N12" s="158">
        <v>73163</v>
      </c>
      <c r="O12" s="739">
        <v>85284</v>
      </c>
      <c r="P12" s="158">
        <v>50877</v>
      </c>
      <c r="Q12" s="739">
        <v>49534</v>
      </c>
      <c r="R12" s="158">
        <f>1105+199568</f>
        <v>200673</v>
      </c>
      <c r="S12" s="739">
        <f>7388+269659</f>
        <v>277047</v>
      </c>
      <c r="T12" s="158">
        <v>46231</v>
      </c>
      <c r="U12" s="739">
        <v>498867</v>
      </c>
      <c r="V12" s="158">
        <v>830627</v>
      </c>
      <c r="W12" s="739">
        <v>996967</v>
      </c>
      <c r="X12" s="158">
        <v>591279</v>
      </c>
      <c r="Y12" s="739">
        <v>647937</v>
      </c>
      <c r="Z12" s="158">
        <v>11691</v>
      </c>
      <c r="AA12" s="739">
        <v>18563</v>
      </c>
      <c r="AB12" s="158">
        <v>33934</v>
      </c>
      <c r="AC12" s="739">
        <v>33724</v>
      </c>
      <c r="AD12" s="158">
        <v>84101</v>
      </c>
      <c r="AE12" s="739">
        <v>99374</v>
      </c>
      <c r="AF12" s="158">
        <v>151282</v>
      </c>
      <c r="AG12" s="739">
        <v>234215</v>
      </c>
      <c r="AH12" s="158">
        <v>84728</v>
      </c>
      <c r="AI12" s="739">
        <v>57112</v>
      </c>
      <c r="AJ12" s="158">
        <v>57429</v>
      </c>
      <c r="AK12" s="739">
        <v>67307</v>
      </c>
      <c r="AL12" s="489"/>
      <c r="AM12" s="739"/>
      <c r="AN12" s="755">
        <v>670247</v>
      </c>
      <c r="AO12" s="751">
        <v>723371</v>
      </c>
      <c r="AP12" s="490">
        <v>103232</v>
      </c>
      <c r="AQ12" s="739">
        <v>89680</v>
      </c>
      <c r="AR12" s="157">
        <v>38874</v>
      </c>
      <c r="AS12" s="739">
        <v>38503</v>
      </c>
      <c r="AT12" s="158">
        <v>928690</v>
      </c>
      <c r="AU12" s="739">
        <v>827545</v>
      </c>
      <c r="AV12" s="508">
        <f t="shared" si="0"/>
        <v>4454077</v>
      </c>
      <c r="AW12" s="508">
        <f t="shared" si="1"/>
        <v>5388015</v>
      </c>
      <c r="AX12" s="157"/>
      <c r="AY12" s="739">
        <v>55505</v>
      </c>
      <c r="AZ12" s="159">
        <f t="shared" si="2"/>
        <v>4454077</v>
      </c>
      <c r="BA12" s="159">
        <f t="shared" si="3"/>
        <v>5443520</v>
      </c>
    </row>
    <row r="13" spans="1:53" x14ac:dyDescent="0.3">
      <c r="A13" s="152" t="s">
        <v>85</v>
      </c>
      <c r="B13" s="153">
        <v>50791</v>
      </c>
      <c r="C13" s="739">
        <v>52459</v>
      </c>
      <c r="D13" s="158">
        <v>22674</v>
      </c>
      <c r="E13" s="739">
        <v>20140</v>
      </c>
      <c r="F13" s="158"/>
      <c r="G13" s="739">
        <v>2906</v>
      </c>
      <c r="H13" s="158">
        <v>482508</v>
      </c>
      <c r="I13" s="739">
        <v>360723</v>
      </c>
      <c r="J13" s="158">
        <v>11822</v>
      </c>
      <c r="K13" s="739">
        <v>14498</v>
      </c>
      <c r="L13" s="158">
        <v>25985</v>
      </c>
      <c r="M13" s="739">
        <v>17244</v>
      </c>
      <c r="N13" s="158">
        <v>1380</v>
      </c>
      <c r="O13" s="739">
        <v>2358</v>
      </c>
      <c r="P13" s="158">
        <v>14896</v>
      </c>
      <c r="Q13" s="739">
        <v>19728</v>
      </c>
      <c r="R13" s="158">
        <v>23113</v>
      </c>
      <c r="S13" s="739">
        <v>20649</v>
      </c>
      <c r="T13" s="158">
        <v>5345</v>
      </c>
      <c r="U13" s="739">
        <v>9786</v>
      </c>
      <c r="V13" s="158">
        <v>102327</v>
      </c>
      <c r="W13" s="739">
        <v>95767</v>
      </c>
      <c r="X13" s="158">
        <v>133511</v>
      </c>
      <c r="Y13" s="739">
        <v>136420</v>
      </c>
      <c r="Z13" s="158">
        <v>106202</v>
      </c>
      <c r="AA13" s="739">
        <v>93315</v>
      </c>
      <c r="AB13" s="158">
        <v>14535</v>
      </c>
      <c r="AC13" s="739">
        <v>9947</v>
      </c>
      <c r="AD13" s="158">
        <v>55973</v>
      </c>
      <c r="AE13" s="739">
        <v>28706</v>
      </c>
      <c r="AF13" s="158">
        <v>185113</v>
      </c>
      <c r="AG13" s="739">
        <v>141650</v>
      </c>
      <c r="AH13" s="158">
        <v>42075</v>
      </c>
      <c r="AI13" s="739">
        <v>35675</v>
      </c>
      <c r="AJ13" s="158">
        <v>67794</v>
      </c>
      <c r="AK13" s="739">
        <v>130580</v>
      </c>
      <c r="AL13" s="489"/>
      <c r="AM13" s="739"/>
      <c r="AN13" s="755">
        <v>178048</v>
      </c>
      <c r="AO13" s="751">
        <v>171551</v>
      </c>
      <c r="AP13" s="490">
        <v>2378</v>
      </c>
      <c r="AQ13" s="739">
        <v>2827</v>
      </c>
      <c r="AR13" s="157">
        <v>6213</v>
      </c>
      <c r="AS13" s="739">
        <v>5267</v>
      </c>
      <c r="AT13" s="158">
        <v>140298</v>
      </c>
      <c r="AU13" s="739">
        <v>121010</v>
      </c>
      <c r="AV13" s="508">
        <f t="shared" si="0"/>
        <v>1672981</v>
      </c>
      <c r="AW13" s="508">
        <f t="shared" si="1"/>
        <v>1493206</v>
      </c>
      <c r="AX13" s="157"/>
      <c r="AY13" s="739">
        <v>241208</v>
      </c>
      <c r="AZ13" s="159">
        <f t="shared" si="2"/>
        <v>1672981</v>
      </c>
      <c r="BA13" s="159">
        <f t="shared" si="3"/>
        <v>1734414</v>
      </c>
    </row>
    <row r="14" spans="1:53" x14ac:dyDescent="0.3">
      <c r="A14" s="152" t="s">
        <v>86</v>
      </c>
      <c r="B14" s="153"/>
      <c r="C14" s="739"/>
      <c r="D14" s="158"/>
      <c r="E14" s="739"/>
      <c r="F14" s="158"/>
      <c r="G14" s="739"/>
      <c r="H14" s="158">
        <v>80990</v>
      </c>
      <c r="I14" s="739">
        <v>9299</v>
      </c>
      <c r="J14" s="158"/>
      <c r="K14" s="739"/>
      <c r="L14" s="158"/>
      <c r="M14" s="739"/>
      <c r="N14" s="158"/>
      <c r="O14" s="739"/>
      <c r="P14" s="158"/>
      <c r="Q14" s="739"/>
      <c r="R14" s="158"/>
      <c r="S14" s="739"/>
      <c r="T14" s="158"/>
      <c r="U14" s="739"/>
      <c r="V14" s="158"/>
      <c r="W14" s="739"/>
      <c r="X14" s="158"/>
      <c r="Y14" s="739"/>
      <c r="Z14" s="158">
        <v>1843</v>
      </c>
      <c r="AA14" s="739">
        <v>6997</v>
      </c>
      <c r="AB14" s="158"/>
      <c r="AC14" s="739"/>
      <c r="AD14" s="158"/>
      <c r="AE14" s="739"/>
      <c r="AF14" s="158"/>
      <c r="AG14" s="739"/>
      <c r="AH14" s="158"/>
      <c r="AI14" s="739"/>
      <c r="AJ14" s="158">
        <v>6527</v>
      </c>
      <c r="AK14" s="739">
        <v>9798</v>
      </c>
      <c r="AL14" s="489"/>
      <c r="AM14" s="739"/>
      <c r="AN14" s="158"/>
      <c r="AO14" s="751"/>
      <c r="AP14" s="490"/>
      <c r="AQ14" s="739"/>
      <c r="AR14" s="157"/>
      <c r="AS14" s="739"/>
      <c r="AT14" s="158"/>
      <c r="AU14" s="739"/>
      <c r="AV14" s="508">
        <f t="shared" si="0"/>
        <v>89360</v>
      </c>
      <c r="AW14" s="508">
        <f t="shared" si="1"/>
        <v>26094</v>
      </c>
      <c r="AX14" s="157"/>
      <c r="AY14" s="739"/>
      <c r="AZ14" s="159">
        <f t="shared" si="2"/>
        <v>89360</v>
      </c>
      <c r="BA14" s="159">
        <f t="shared" si="3"/>
        <v>26094</v>
      </c>
    </row>
    <row r="15" spans="1:53" x14ac:dyDescent="0.3">
      <c r="A15" s="152" t="s">
        <v>87</v>
      </c>
      <c r="B15" s="153">
        <v>4198</v>
      </c>
      <c r="C15" s="739">
        <v>4287</v>
      </c>
      <c r="D15" s="158">
        <v>1925</v>
      </c>
      <c r="E15" s="739">
        <v>1750</v>
      </c>
      <c r="F15" s="158"/>
      <c r="G15" s="739">
        <v>2868</v>
      </c>
      <c r="H15" s="158">
        <v>4750</v>
      </c>
      <c r="I15" s="739">
        <v>4751</v>
      </c>
      <c r="J15" s="158">
        <v>3179</v>
      </c>
      <c r="K15" s="739">
        <v>3295</v>
      </c>
      <c r="L15" s="158">
        <v>1250</v>
      </c>
      <c r="M15" s="739">
        <v>1577</v>
      </c>
      <c r="N15" s="158">
        <v>1751</v>
      </c>
      <c r="O15" s="739">
        <v>676</v>
      </c>
      <c r="P15" s="158">
        <v>1400</v>
      </c>
      <c r="Q15" s="739">
        <v>975</v>
      </c>
      <c r="R15" s="158">
        <v>2200</v>
      </c>
      <c r="S15" s="739">
        <v>2200</v>
      </c>
      <c r="T15" s="158">
        <v>1900</v>
      </c>
      <c r="U15" s="739">
        <v>1750</v>
      </c>
      <c r="V15" s="158">
        <v>4800</v>
      </c>
      <c r="W15" s="739">
        <v>4800</v>
      </c>
      <c r="X15" s="158">
        <v>10684</v>
      </c>
      <c r="Y15" s="739">
        <v>9785</v>
      </c>
      <c r="Z15" s="256">
        <v>2205</v>
      </c>
      <c r="AA15" s="739">
        <v>1895</v>
      </c>
      <c r="AB15" s="158">
        <v>1745</v>
      </c>
      <c r="AC15" s="739">
        <v>2016</v>
      </c>
      <c r="AD15" s="536">
        <v>3905</v>
      </c>
      <c r="AE15" s="739">
        <v>3917</v>
      </c>
      <c r="AF15" s="158">
        <v>4514</v>
      </c>
      <c r="AG15" s="739">
        <v>4513</v>
      </c>
      <c r="AH15" s="158">
        <v>3500</v>
      </c>
      <c r="AI15" s="739">
        <v>3501</v>
      </c>
      <c r="AJ15" s="158">
        <v>3300</v>
      </c>
      <c r="AK15" s="739">
        <v>3091</v>
      </c>
      <c r="AL15" s="489"/>
      <c r="AM15" s="739"/>
      <c r="AN15" s="755">
        <v>3500</v>
      </c>
      <c r="AO15" s="751">
        <v>3500</v>
      </c>
      <c r="AP15" s="490">
        <v>850</v>
      </c>
      <c r="AQ15" s="739">
        <v>850</v>
      </c>
      <c r="AR15" s="157">
        <v>2486</v>
      </c>
      <c r="AS15" s="739">
        <v>1707</v>
      </c>
      <c r="AT15" s="158">
        <v>3800</v>
      </c>
      <c r="AU15" s="739">
        <v>3800</v>
      </c>
      <c r="AV15" s="508">
        <f t="shared" si="0"/>
        <v>67842</v>
      </c>
      <c r="AW15" s="508">
        <f t="shared" si="1"/>
        <v>67504</v>
      </c>
      <c r="AX15" s="158"/>
      <c r="AY15" s="739">
        <v>48127</v>
      </c>
      <c r="AZ15" s="159">
        <f t="shared" si="2"/>
        <v>67842</v>
      </c>
      <c r="BA15" s="159">
        <f t="shared" si="3"/>
        <v>115631</v>
      </c>
    </row>
    <row r="16" spans="1:53" x14ac:dyDescent="0.3">
      <c r="A16" s="152" t="s">
        <v>88</v>
      </c>
      <c r="B16" s="153"/>
      <c r="C16" s="739"/>
      <c r="D16" s="158"/>
      <c r="E16" s="739"/>
      <c r="F16" s="158"/>
      <c r="G16" s="739"/>
      <c r="H16" s="158"/>
      <c r="I16" s="739"/>
      <c r="J16" s="158"/>
      <c r="K16" s="739"/>
      <c r="L16" s="158"/>
      <c r="M16" s="739"/>
      <c r="N16" s="158"/>
      <c r="O16" s="739"/>
      <c r="P16" s="158"/>
      <c r="Q16" s="739"/>
      <c r="R16" s="158"/>
      <c r="S16" s="739"/>
      <c r="T16" s="158"/>
      <c r="U16" s="739"/>
      <c r="V16" s="158"/>
      <c r="W16" s="739"/>
      <c r="X16" s="158"/>
      <c r="Y16" s="739"/>
      <c r="Z16" s="256"/>
      <c r="AA16" s="739"/>
      <c r="AB16" s="158"/>
      <c r="AC16" s="739"/>
      <c r="AD16" s="158"/>
      <c r="AE16" s="739"/>
      <c r="AF16" s="158"/>
      <c r="AG16" s="739"/>
      <c r="AH16" s="158"/>
      <c r="AI16" s="739"/>
      <c r="AJ16" s="158"/>
      <c r="AK16" s="739"/>
      <c r="AL16" s="489"/>
      <c r="AM16" s="739"/>
      <c r="AN16" s="755"/>
      <c r="AO16" s="751"/>
      <c r="AP16" s="490"/>
      <c r="AQ16" s="739"/>
      <c r="AR16" s="157"/>
      <c r="AS16" s="739"/>
      <c r="AT16" s="158"/>
      <c r="AU16" s="739"/>
      <c r="AV16" s="508">
        <f t="shared" si="0"/>
        <v>0</v>
      </c>
      <c r="AW16" s="508">
        <f t="shared" si="1"/>
        <v>0</v>
      </c>
      <c r="AX16" s="158"/>
      <c r="AY16" s="739"/>
      <c r="AZ16" s="159">
        <f t="shared" si="2"/>
        <v>0</v>
      </c>
      <c r="BA16" s="159">
        <f t="shared" si="3"/>
        <v>0</v>
      </c>
    </row>
    <row r="17" spans="1:53" x14ac:dyDescent="0.3">
      <c r="A17" s="152" t="s">
        <v>89</v>
      </c>
      <c r="B17" s="153"/>
      <c r="C17" s="739"/>
      <c r="D17" s="158"/>
      <c r="E17" s="739"/>
      <c r="F17" s="158"/>
      <c r="G17" s="739"/>
      <c r="H17" s="158"/>
      <c r="I17" s="739"/>
      <c r="J17" s="158">
        <v>75</v>
      </c>
      <c r="K17" s="739">
        <v>75</v>
      </c>
      <c r="L17" s="158"/>
      <c r="M17" s="739"/>
      <c r="N17" s="158"/>
      <c r="O17" s="739"/>
      <c r="P17" s="158"/>
      <c r="Q17" s="739"/>
      <c r="R17" s="158"/>
      <c r="S17" s="739"/>
      <c r="T17" s="158"/>
      <c r="U17" s="739"/>
      <c r="V17" s="158">
        <v>78</v>
      </c>
      <c r="W17" s="739">
        <v>100</v>
      </c>
      <c r="X17" s="158"/>
      <c r="Y17" s="739"/>
      <c r="Z17" s="256"/>
      <c r="AA17" s="739"/>
      <c r="AB17" s="158"/>
      <c r="AC17" s="739"/>
      <c r="AD17" s="158"/>
      <c r="AE17" s="739"/>
      <c r="AF17" s="158">
        <v>200</v>
      </c>
      <c r="AG17" s="739"/>
      <c r="AH17" s="158"/>
      <c r="AI17" s="739"/>
      <c r="AJ17" s="158"/>
      <c r="AK17" s="739"/>
      <c r="AL17" s="489"/>
      <c r="AM17" s="739"/>
      <c r="AN17" s="755"/>
      <c r="AO17" s="751"/>
      <c r="AP17" s="490"/>
      <c r="AQ17" s="739"/>
      <c r="AR17" s="157"/>
      <c r="AS17" s="739"/>
      <c r="AT17" s="158"/>
      <c r="AU17" s="739"/>
      <c r="AV17" s="508">
        <f t="shared" si="0"/>
        <v>353</v>
      </c>
      <c r="AW17" s="508">
        <f t="shared" si="1"/>
        <v>175</v>
      </c>
      <c r="AX17" s="158"/>
      <c r="AY17" s="739"/>
      <c r="AZ17" s="159">
        <f t="shared" si="2"/>
        <v>353</v>
      </c>
      <c r="BA17" s="159">
        <f t="shared" si="3"/>
        <v>175</v>
      </c>
    </row>
    <row r="18" spans="1:53" x14ac:dyDescent="0.3">
      <c r="A18" s="152" t="s">
        <v>90</v>
      </c>
      <c r="B18" s="153"/>
      <c r="C18" s="739"/>
      <c r="D18" s="158"/>
      <c r="E18" s="739"/>
      <c r="F18" s="158"/>
      <c r="G18" s="739"/>
      <c r="H18" s="158"/>
      <c r="I18" s="739"/>
      <c r="J18" s="158"/>
      <c r="K18" s="739"/>
      <c r="L18" s="158"/>
      <c r="M18" s="739"/>
      <c r="N18" s="158"/>
      <c r="O18" s="739"/>
      <c r="P18" s="158"/>
      <c r="Q18" s="739"/>
      <c r="R18" s="158"/>
      <c r="S18" s="739"/>
      <c r="T18" s="158"/>
      <c r="U18" s="739"/>
      <c r="V18" s="158"/>
      <c r="W18" s="739"/>
      <c r="X18" s="158"/>
      <c r="Y18" s="739"/>
      <c r="Z18" s="256"/>
      <c r="AA18" s="739"/>
      <c r="AB18" s="158"/>
      <c r="AC18" s="739"/>
      <c r="AD18" s="158"/>
      <c r="AE18" s="739"/>
      <c r="AF18" s="158"/>
      <c r="AG18" s="739"/>
      <c r="AH18" s="158"/>
      <c r="AI18" s="739"/>
      <c r="AJ18" s="158"/>
      <c r="AK18" s="739"/>
      <c r="AL18" s="489"/>
      <c r="AM18" s="739"/>
      <c r="AN18" s="755"/>
      <c r="AO18" s="751"/>
      <c r="AP18" s="490"/>
      <c r="AQ18" s="739"/>
      <c r="AR18" s="157"/>
      <c r="AS18" s="739"/>
      <c r="AT18" s="158"/>
      <c r="AU18" s="739"/>
      <c r="AV18" s="508">
        <f t="shared" si="0"/>
        <v>0</v>
      </c>
      <c r="AW18" s="508">
        <f t="shared" si="1"/>
        <v>0</v>
      </c>
      <c r="AX18" s="158"/>
      <c r="AY18" s="739"/>
      <c r="AZ18" s="159">
        <f t="shared" si="2"/>
        <v>0</v>
      </c>
      <c r="BA18" s="159">
        <f t="shared" si="3"/>
        <v>0</v>
      </c>
    </row>
    <row r="19" spans="1:53" x14ac:dyDescent="0.3">
      <c r="A19" s="152" t="s">
        <v>91</v>
      </c>
      <c r="B19" s="153">
        <v>733</v>
      </c>
      <c r="C19" s="739">
        <v>35</v>
      </c>
      <c r="D19" s="158"/>
      <c r="E19" s="739"/>
      <c r="F19" s="158"/>
      <c r="G19" s="739"/>
      <c r="H19" s="158"/>
      <c r="I19" s="739"/>
      <c r="J19" s="158">
        <v>145</v>
      </c>
      <c r="K19" s="739">
        <v>100</v>
      </c>
      <c r="L19" s="158"/>
      <c r="M19" s="739"/>
      <c r="N19" s="158"/>
      <c r="O19" s="739"/>
      <c r="P19" s="158"/>
      <c r="Q19" s="739"/>
      <c r="R19" s="158"/>
      <c r="S19" s="739"/>
      <c r="T19" s="158"/>
      <c r="U19" s="739">
        <v>75</v>
      </c>
      <c r="V19" s="158">
        <v>1820</v>
      </c>
      <c r="W19" s="739">
        <v>2161</v>
      </c>
      <c r="X19" s="158"/>
      <c r="Y19" s="739"/>
      <c r="Z19" s="256"/>
      <c r="AA19" s="739"/>
      <c r="AB19" s="158"/>
      <c r="AC19" s="739"/>
      <c r="AD19" s="158"/>
      <c r="AE19" s="739"/>
      <c r="AF19" s="158"/>
      <c r="AG19" s="739"/>
      <c r="AH19" s="158"/>
      <c r="AI19" s="739"/>
      <c r="AJ19" s="158"/>
      <c r="AK19" s="739"/>
      <c r="AL19" s="489"/>
      <c r="AM19" s="739"/>
      <c r="AN19" s="755"/>
      <c r="AO19" s="751"/>
      <c r="AP19" s="490"/>
      <c r="AQ19" s="739"/>
      <c r="AR19" s="157"/>
      <c r="AS19" s="739"/>
      <c r="AT19" s="158"/>
      <c r="AU19" s="739"/>
      <c r="AV19" s="508">
        <f t="shared" si="0"/>
        <v>2698</v>
      </c>
      <c r="AW19" s="508">
        <f t="shared" si="1"/>
        <v>2371</v>
      </c>
      <c r="AX19" s="158"/>
      <c r="AY19" s="739"/>
      <c r="AZ19" s="159">
        <f t="shared" si="2"/>
        <v>2698</v>
      </c>
      <c r="BA19" s="159">
        <f t="shared" si="3"/>
        <v>2371</v>
      </c>
    </row>
    <row r="20" spans="1:53" x14ac:dyDescent="0.3">
      <c r="A20" s="152" t="s">
        <v>92</v>
      </c>
      <c r="B20" s="153"/>
      <c r="C20" s="739"/>
      <c r="D20" s="158">
        <v>50</v>
      </c>
      <c r="E20" s="739">
        <v>50</v>
      </c>
      <c r="F20" s="158"/>
      <c r="G20" s="739">
        <v>232</v>
      </c>
      <c r="H20" s="158">
        <v>444</v>
      </c>
      <c r="I20" s="739">
        <v>460</v>
      </c>
      <c r="J20" s="158"/>
      <c r="K20" s="739"/>
      <c r="L20" s="158">
        <v>499</v>
      </c>
      <c r="M20" s="739">
        <v>442</v>
      </c>
      <c r="N20" s="158">
        <v>30</v>
      </c>
      <c r="O20" s="739">
        <v>205</v>
      </c>
      <c r="P20" s="158">
        <v>350</v>
      </c>
      <c r="Q20" s="739">
        <v>250</v>
      </c>
      <c r="R20" s="158">
        <f>75+948</f>
        <v>1023</v>
      </c>
      <c r="S20" s="739">
        <f>75+880</f>
        <v>955</v>
      </c>
      <c r="T20" s="158">
        <v>1527</v>
      </c>
      <c r="U20" s="739">
        <v>502</v>
      </c>
      <c r="V20" s="158"/>
      <c r="W20" s="739"/>
      <c r="X20" s="158"/>
      <c r="Y20" s="739"/>
      <c r="Z20" s="256">
        <v>525</v>
      </c>
      <c r="AA20" s="739">
        <v>149</v>
      </c>
      <c r="AB20" s="158">
        <v>50</v>
      </c>
      <c r="AC20" s="739">
        <v>25</v>
      </c>
      <c r="AD20" s="536">
        <v>1073</v>
      </c>
      <c r="AE20" s="739">
        <v>1079</v>
      </c>
      <c r="AF20" s="158">
        <v>2250</v>
      </c>
      <c r="AG20" s="739">
        <v>2250</v>
      </c>
      <c r="AH20" s="748">
        <v>361</v>
      </c>
      <c r="AI20" s="739">
        <v>1007</v>
      </c>
      <c r="AJ20" s="158">
        <v>700</v>
      </c>
      <c r="AK20" s="739">
        <v>2725</v>
      </c>
      <c r="AL20" s="489"/>
      <c r="AM20" s="739"/>
      <c r="AN20" s="755">
        <v>1046</v>
      </c>
      <c r="AO20" s="751">
        <v>731</v>
      </c>
      <c r="AP20" s="490"/>
      <c r="AQ20" s="739"/>
      <c r="AR20" s="157"/>
      <c r="AS20" s="739">
        <v>2046</v>
      </c>
      <c r="AT20" s="158">
        <v>234</v>
      </c>
      <c r="AU20" s="739">
        <v>316</v>
      </c>
      <c r="AV20" s="508">
        <f t="shared" si="0"/>
        <v>10162</v>
      </c>
      <c r="AW20" s="508">
        <f t="shared" si="1"/>
        <v>13424</v>
      </c>
      <c r="AX20" s="158"/>
      <c r="AY20" s="739"/>
      <c r="AZ20" s="159">
        <f t="shared" si="2"/>
        <v>10162</v>
      </c>
      <c r="BA20" s="159">
        <f t="shared" si="3"/>
        <v>13424</v>
      </c>
    </row>
    <row r="21" spans="1:53" ht="17.25" x14ac:dyDescent="0.35">
      <c r="A21" s="152" t="s">
        <v>93</v>
      </c>
      <c r="B21" s="153"/>
      <c r="C21" s="739"/>
      <c r="D21" s="158">
        <v>105</v>
      </c>
      <c r="E21" s="739">
        <v>22</v>
      </c>
      <c r="F21" s="158"/>
      <c r="G21" s="739"/>
      <c r="H21" s="158">
        <v>81</v>
      </c>
      <c r="I21" s="739">
        <v>452</v>
      </c>
      <c r="J21" s="158"/>
      <c r="K21" s="739"/>
      <c r="L21" s="158"/>
      <c r="M21" s="739"/>
      <c r="N21" s="158">
        <v>1276</v>
      </c>
      <c r="O21" s="739">
        <v>852</v>
      </c>
      <c r="P21" s="158">
        <v>115</v>
      </c>
      <c r="Q21" s="739">
        <v>75</v>
      </c>
      <c r="R21" s="158">
        <v>175</v>
      </c>
      <c r="S21" s="739">
        <v>172</v>
      </c>
      <c r="T21" s="158"/>
      <c r="U21" s="739"/>
      <c r="V21" s="158"/>
      <c r="W21" s="739"/>
      <c r="X21" s="158"/>
      <c r="Y21" s="739"/>
      <c r="Z21" s="256"/>
      <c r="AA21" s="739"/>
      <c r="AB21" s="158"/>
      <c r="AC21" s="739"/>
      <c r="AD21" s="158"/>
      <c r="AE21" s="739"/>
      <c r="AF21" s="158">
        <v>776</v>
      </c>
      <c r="AG21" s="739">
        <v>1177</v>
      </c>
      <c r="AH21" s="161">
        <v>626</v>
      </c>
      <c r="AI21" s="739">
        <v>451</v>
      </c>
      <c r="AJ21" s="158"/>
      <c r="AK21" s="739"/>
      <c r="AL21" s="489"/>
      <c r="AM21" s="739"/>
      <c r="AN21" s="755">
        <v>25</v>
      </c>
      <c r="AO21" s="751">
        <v>374</v>
      </c>
      <c r="AP21" s="490"/>
      <c r="AQ21" s="739"/>
      <c r="AR21" s="157"/>
      <c r="AS21" s="739"/>
      <c r="AT21" s="158">
        <v>4</v>
      </c>
      <c r="AU21" s="739">
        <v>95</v>
      </c>
      <c r="AV21" s="508">
        <f t="shared" si="0"/>
        <v>3183</v>
      </c>
      <c r="AW21" s="508">
        <f t="shared" si="1"/>
        <v>3670</v>
      </c>
      <c r="AX21" s="157"/>
      <c r="AY21" s="739"/>
      <c r="AZ21" s="159">
        <f t="shared" si="2"/>
        <v>3183</v>
      </c>
      <c r="BA21" s="159">
        <f t="shared" si="3"/>
        <v>3670</v>
      </c>
    </row>
    <row r="22" spans="1:53" x14ac:dyDescent="0.3">
      <c r="A22" s="152" t="s">
        <v>94</v>
      </c>
      <c r="B22" s="153">
        <v>987596</v>
      </c>
      <c r="C22" s="739">
        <v>798217</v>
      </c>
      <c r="D22" s="158">
        <v>108498</v>
      </c>
      <c r="E22" s="739">
        <v>167980</v>
      </c>
      <c r="F22" s="158"/>
      <c r="G22" s="739">
        <v>99362</v>
      </c>
      <c r="H22" s="158">
        <v>565441</v>
      </c>
      <c r="I22" s="739">
        <v>771389</v>
      </c>
      <c r="J22" s="158">
        <v>572068</v>
      </c>
      <c r="K22" s="739">
        <v>1421819</v>
      </c>
      <c r="L22" s="158">
        <v>119005</v>
      </c>
      <c r="M22" s="739">
        <v>171624</v>
      </c>
      <c r="N22" s="158">
        <v>1598</v>
      </c>
      <c r="O22" s="739">
        <v>27355</v>
      </c>
      <c r="P22" s="158">
        <v>251634</v>
      </c>
      <c r="Q22" s="739">
        <v>157217</v>
      </c>
      <c r="R22" s="158">
        <v>90426</v>
      </c>
      <c r="S22" s="739">
        <v>140673</v>
      </c>
      <c r="T22" s="158">
        <v>125112</v>
      </c>
      <c r="U22" s="739">
        <v>217659</v>
      </c>
      <c r="V22" s="158">
        <v>6036867</v>
      </c>
      <c r="W22" s="739">
        <v>4737105</v>
      </c>
      <c r="X22" s="158">
        <v>3268417</v>
      </c>
      <c r="Y22" s="739">
        <v>3452238</v>
      </c>
      <c r="Z22" s="256">
        <v>105089</v>
      </c>
      <c r="AA22" s="739">
        <v>103234</v>
      </c>
      <c r="AB22" s="158">
        <v>318473</v>
      </c>
      <c r="AC22" s="739">
        <v>348203</v>
      </c>
      <c r="AD22" s="158">
        <v>335729</v>
      </c>
      <c r="AE22" s="739">
        <v>853070</v>
      </c>
      <c r="AF22" s="158">
        <v>1262152</v>
      </c>
      <c r="AG22" s="739">
        <v>714942</v>
      </c>
      <c r="AH22" s="158">
        <v>330399</v>
      </c>
      <c r="AI22" s="739">
        <v>192565</v>
      </c>
      <c r="AJ22" s="158">
        <v>414650</v>
      </c>
      <c r="AK22" s="739">
        <v>427056</v>
      </c>
      <c r="AL22" s="489"/>
      <c r="AM22" s="739"/>
      <c r="AN22" s="755">
        <v>101774</v>
      </c>
      <c r="AO22" s="751">
        <v>261135</v>
      </c>
      <c r="AP22" s="490">
        <v>89714</v>
      </c>
      <c r="AQ22" s="739">
        <v>106743</v>
      </c>
      <c r="AR22" s="157">
        <v>4764</v>
      </c>
      <c r="AS22" s="739">
        <v>65479</v>
      </c>
      <c r="AT22" s="158">
        <v>1874760</v>
      </c>
      <c r="AU22" s="739">
        <v>1542109</v>
      </c>
      <c r="AV22" s="508">
        <f t="shared" si="0"/>
        <v>16964166</v>
      </c>
      <c r="AW22" s="508">
        <f t="shared" si="1"/>
        <v>16777174</v>
      </c>
      <c r="AX22" s="157"/>
      <c r="AY22" s="739">
        <v>1104911</v>
      </c>
      <c r="AZ22" s="159">
        <f t="shared" si="2"/>
        <v>16964166</v>
      </c>
      <c r="BA22" s="159">
        <f t="shared" si="3"/>
        <v>17882085</v>
      </c>
    </row>
    <row r="23" spans="1:53" x14ac:dyDescent="0.3">
      <c r="A23" s="152" t="s">
        <v>95</v>
      </c>
      <c r="B23" s="153">
        <v>53944</v>
      </c>
      <c r="C23" s="739">
        <v>44143</v>
      </c>
      <c r="D23" s="158">
        <v>16515</v>
      </c>
      <c r="E23" s="739">
        <v>17415</v>
      </c>
      <c r="F23" s="158"/>
      <c r="G23" s="739">
        <v>9721</v>
      </c>
      <c r="H23" s="158">
        <v>34752</v>
      </c>
      <c r="I23" s="739">
        <v>33037</v>
      </c>
      <c r="J23" s="158">
        <v>20467</v>
      </c>
      <c r="K23" s="739">
        <v>20935</v>
      </c>
      <c r="L23" s="158">
        <v>25546</v>
      </c>
      <c r="M23" s="739">
        <v>22701</v>
      </c>
      <c r="N23" s="158">
        <v>8575</v>
      </c>
      <c r="O23" s="739">
        <v>8388</v>
      </c>
      <c r="P23" s="158">
        <v>12244</v>
      </c>
      <c r="Q23" s="739">
        <v>10090</v>
      </c>
      <c r="R23" s="158">
        <v>27927</v>
      </c>
      <c r="S23" s="739">
        <v>34150</v>
      </c>
      <c r="T23" s="158">
        <v>11234</v>
      </c>
      <c r="U23" s="739">
        <v>3961</v>
      </c>
      <c r="V23" s="158">
        <v>78341</v>
      </c>
      <c r="W23" s="739">
        <v>69906</v>
      </c>
      <c r="X23" s="158">
        <v>114518</v>
      </c>
      <c r="Y23" s="739">
        <v>106735</v>
      </c>
      <c r="Z23" s="256">
        <v>9833</v>
      </c>
      <c r="AA23" s="739">
        <v>11190</v>
      </c>
      <c r="AB23" s="158">
        <v>13072</v>
      </c>
      <c r="AC23" s="739">
        <v>10575</v>
      </c>
      <c r="AD23" s="158">
        <v>42144</v>
      </c>
      <c r="AE23" s="739">
        <v>24960</v>
      </c>
      <c r="AF23" s="536">
        <v>84240</v>
      </c>
      <c r="AG23" s="739">
        <v>55568</v>
      </c>
      <c r="AH23" s="158">
        <v>22314</v>
      </c>
      <c r="AI23" s="739">
        <v>31774</v>
      </c>
      <c r="AJ23" s="158">
        <v>31500</v>
      </c>
      <c r="AK23" s="739">
        <v>38655</v>
      </c>
      <c r="AL23" s="489"/>
      <c r="AM23" s="739"/>
      <c r="AN23" s="755">
        <v>40539</v>
      </c>
      <c r="AO23" s="751">
        <v>38982</v>
      </c>
      <c r="AP23" s="490">
        <v>3631</v>
      </c>
      <c r="AQ23" s="739">
        <v>5266</v>
      </c>
      <c r="AR23" s="157">
        <v>1367</v>
      </c>
      <c r="AS23" s="739">
        <v>1995</v>
      </c>
      <c r="AT23" s="158">
        <v>62092</v>
      </c>
      <c r="AU23" s="739">
        <v>46040</v>
      </c>
      <c r="AV23" s="508">
        <f t="shared" si="0"/>
        <v>714795</v>
      </c>
      <c r="AW23" s="508">
        <f t="shared" si="1"/>
        <v>646187</v>
      </c>
      <c r="AX23" s="157"/>
      <c r="AY23" s="739">
        <v>169967</v>
      </c>
      <c r="AZ23" s="159">
        <f t="shared" si="2"/>
        <v>714795</v>
      </c>
      <c r="BA23" s="159">
        <f t="shared" si="3"/>
        <v>816154</v>
      </c>
    </row>
    <row r="24" spans="1:53" x14ac:dyDescent="0.3">
      <c r="A24" s="152" t="s">
        <v>96</v>
      </c>
      <c r="B24" s="153">
        <f>421</f>
        <v>421</v>
      </c>
      <c r="C24" s="739">
        <v>5783</v>
      </c>
      <c r="D24" s="158"/>
      <c r="E24" s="739"/>
      <c r="F24" s="158"/>
      <c r="G24" s="739"/>
      <c r="H24" s="158"/>
      <c r="I24" s="739"/>
      <c r="J24" s="158">
        <v>106239</v>
      </c>
      <c r="K24" s="739">
        <v>167274</v>
      </c>
      <c r="L24" s="158"/>
      <c r="M24" s="739"/>
      <c r="N24" s="158"/>
      <c r="O24" s="739"/>
      <c r="P24" s="158"/>
      <c r="Q24" s="739"/>
      <c r="R24" s="158">
        <v>27888</v>
      </c>
      <c r="S24" s="739">
        <v>12216</v>
      </c>
      <c r="T24" s="158"/>
      <c r="U24" s="739"/>
      <c r="V24" s="158"/>
      <c r="W24" s="739"/>
      <c r="X24" s="158"/>
      <c r="Y24" s="739"/>
      <c r="Z24" s="256"/>
      <c r="AA24" s="739"/>
      <c r="AB24" s="158"/>
      <c r="AC24" s="739"/>
      <c r="AD24" s="158"/>
      <c r="AE24" s="739"/>
      <c r="AF24" s="158"/>
      <c r="AG24" s="739"/>
      <c r="AH24" s="158">
        <v>24627</v>
      </c>
      <c r="AI24" s="739">
        <v>38733</v>
      </c>
      <c r="AJ24" s="158"/>
      <c r="AK24" s="739"/>
      <c r="AL24" s="489"/>
      <c r="AM24" s="739"/>
      <c r="AN24" s="755">
        <v>711</v>
      </c>
      <c r="AO24" s="751">
        <v>8894</v>
      </c>
      <c r="AP24" s="490"/>
      <c r="AQ24" s="739"/>
      <c r="AR24" s="157"/>
      <c r="AS24" s="739"/>
      <c r="AT24" s="158"/>
      <c r="AU24" s="739"/>
      <c r="AV24" s="508">
        <f t="shared" si="0"/>
        <v>159886</v>
      </c>
      <c r="AW24" s="508">
        <f t="shared" si="1"/>
        <v>232900</v>
      </c>
      <c r="AX24" s="157"/>
      <c r="AY24" s="739"/>
      <c r="AZ24" s="159">
        <f t="shared" si="2"/>
        <v>159886</v>
      </c>
      <c r="BA24" s="159">
        <f t="shared" si="3"/>
        <v>232900</v>
      </c>
    </row>
    <row r="25" spans="1:53" x14ac:dyDescent="0.3">
      <c r="A25" s="152" t="s">
        <v>97</v>
      </c>
      <c r="B25" s="153">
        <v>340124</v>
      </c>
      <c r="C25" s="739">
        <v>330320</v>
      </c>
      <c r="D25" s="158">
        <v>134190</v>
      </c>
      <c r="E25" s="739">
        <v>121044</v>
      </c>
      <c r="F25" s="158"/>
      <c r="G25" s="739">
        <v>92880</v>
      </c>
      <c r="H25" s="158">
        <v>336276</v>
      </c>
      <c r="I25" s="739">
        <v>331319</v>
      </c>
      <c r="J25" s="158">
        <v>256008</v>
      </c>
      <c r="K25" s="739">
        <v>210577</v>
      </c>
      <c r="L25" s="158">
        <v>201422</v>
      </c>
      <c r="M25" s="739">
        <v>149669</v>
      </c>
      <c r="N25" s="158">
        <v>61596</v>
      </c>
      <c r="O25" s="739">
        <v>47501</v>
      </c>
      <c r="P25" s="158">
        <v>113103</v>
      </c>
      <c r="Q25" s="739">
        <v>102475</v>
      </c>
      <c r="R25" s="158"/>
      <c r="S25" s="739"/>
      <c r="T25" s="158">
        <v>41106</v>
      </c>
      <c r="U25" s="739">
        <v>53668</v>
      </c>
      <c r="V25" s="158">
        <v>566005</v>
      </c>
      <c r="W25" s="739">
        <v>578543</v>
      </c>
      <c r="X25" s="158">
        <f>460406+162292</f>
        <v>622698</v>
      </c>
      <c r="Y25" s="739">
        <f>511104+144125</f>
        <v>655229</v>
      </c>
      <c r="Z25" s="256">
        <v>81490</v>
      </c>
      <c r="AA25" s="739">
        <v>76154</v>
      </c>
      <c r="AB25" s="158">
        <v>225783</v>
      </c>
      <c r="AC25" s="739">
        <v>161140</v>
      </c>
      <c r="AD25" s="536">
        <v>208215</v>
      </c>
      <c r="AE25" s="739">
        <v>161561</v>
      </c>
      <c r="AF25" s="158">
        <v>335644</v>
      </c>
      <c r="AG25" s="739">
        <v>282247</v>
      </c>
      <c r="AH25" s="158">
        <v>289905</v>
      </c>
      <c r="AI25" s="739">
        <v>230397</v>
      </c>
      <c r="AJ25" s="158">
        <f>159526+141099</f>
        <v>300625</v>
      </c>
      <c r="AK25" s="739">
        <f>169804+52210</f>
        <v>222014</v>
      </c>
      <c r="AL25" s="489"/>
      <c r="AM25" s="739"/>
      <c r="AN25" s="755">
        <v>508673</v>
      </c>
      <c r="AO25" s="751">
        <v>369570</v>
      </c>
      <c r="AP25" s="490">
        <v>56587</v>
      </c>
      <c r="AQ25" s="739">
        <v>57500</v>
      </c>
      <c r="AR25" s="157">
        <v>88893</v>
      </c>
      <c r="AS25" s="739">
        <v>88587</v>
      </c>
      <c r="AT25" s="158">
        <v>267062</v>
      </c>
      <c r="AU25" s="739">
        <v>263493</v>
      </c>
      <c r="AV25" s="508">
        <f t="shared" si="0"/>
        <v>5035405</v>
      </c>
      <c r="AW25" s="508">
        <f t="shared" si="1"/>
        <v>4585888</v>
      </c>
      <c r="AX25" s="158"/>
      <c r="AY25" s="739"/>
      <c r="AZ25" s="159">
        <f t="shared" si="2"/>
        <v>5035405</v>
      </c>
      <c r="BA25" s="159">
        <f t="shared" si="3"/>
        <v>4585888</v>
      </c>
    </row>
    <row r="26" spans="1:53" x14ac:dyDescent="0.3">
      <c r="A26" s="152" t="s">
        <v>98</v>
      </c>
      <c r="B26" s="153"/>
      <c r="C26" s="739"/>
      <c r="D26" s="158"/>
      <c r="E26" s="739">
        <v>200</v>
      </c>
      <c r="F26" s="158"/>
      <c r="G26" s="739">
        <v>7901</v>
      </c>
      <c r="H26" s="158"/>
      <c r="I26" s="739"/>
      <c r="J26" s="158"/>
      <c r="K26" s="739"/>
      <c r="L26" s="158"/>
      <c r="M26" s="739"/>
      <c r="N26" s="158"/>
      <c r="O26" s="739"/>
      <c r="P26" s="158">
        <v>8526</v>
      </c>
      <c r="Q26" s="739">
        <v>5142</v>
      </c>
      <c r="R26" s="158">
        <v>40458</v>
      </c>
      <c r="S26" s="739">
        <v>13824</v>
      </c>
      <c r="T26" s="158">
        <v>1290</v>
      </c>
      <c r="U26" s="739">
        <v>4876</v>
      </c>
      <c r="V26" s="158">
        <v>9395</v>
      </c>
      <c r="W26" s="739">
        <v>19160</v>
      </c>
      <c r="X26" s="158">
        <v>11590</v>
      </c>
      <c r="Y26" s="739">
        <v>15440</v>
      </c>
      <c r="Z26" s="256"/>
      <c r="AA26" s="739"/>
      <c r="AB26" s="158"/>
      <c r="AC26" s="739"/>
      <c r="AD26" s="158">
        <v>31108</v>
      </c>
      <c r="AE26" s="739">
        <v>69221</v>
      </c>
      <c r="AF26" s="490">
        <f>18211+67351</f>
        <v>85562</v>
      </c>
      <c r="AG26" s="739">
        <f>78945+20551</f>
        <v>99496</v>
      </c>
      <c r="AH26" s="158"/>
      <c r="AI26" s="739"/>
      <c r="AJ26" s="158"/>
      <c r="AK26" s="739"/>
      <c r="AL26" s="489"/>
      <c r="AM26" s="739"/>
      <c r="AN26" s="755">
        <v>111985</v>
      </c>
      <c r="AO26" s="751">
        <v>69822</v>
      </c>
      <c r="AP26" s="490">
        <v>710</v>
      </c>
      <c r="AQ26" s="739">
        <v>544</v>
      </c>
      <c r="AR26" s="157">
        <v>30761</v>
      </c>
      <c r="AS26" s="739">
        <v>11973</v>
      </c>
      <c r="AT26" s="158"/>
      <c r="AU26" s="739"/>
      <c r="AV26" s="508">
        <f t="shared" si="0"/>
        <v>331385</v>
      </c>
      <c r="AW26" s="508">
        <f t="shared" si="1"/>
        <v>317599</v>
      </c>
      <c r="AX26" s="157"/>
      <c r="AY26" s="739">
        <v>14488412</v>
      </c>
      <c r="AZ26" s="159">
        <f t="shared" si="2"/>
        <v>331385</v>
      </c>
      <c r="BA26" s="159">
        <f t="shared" si="3"/>
        <v>14806011</v>
      </c>
    </row>
    <row r="27" spans="1:53" x14ac:dyDescent="0.3">
      <c r="A27" s="152" t="s">
        <v>99</v>
      </c>
      <c r="B27" s="153">
        <v>140101</v>
      </c>
      <c r="C27" s="739">
        <v>115120</v>
      </c>
      <c r="D27" s="158">
        <v>26035</v>
      </c>
      <c r="E27" s="739">
        <v>29614</v>
      </c>
      <c r="F27" s="158"/>
      <c r="G27" s="739"/>
      <c r="H27" s="158">
        <v>178086</v>
      </c>
      <c r="I27" s="739">
        <v>175011</v>
      </c>
      <c r="J27" s="158">
        <v>31842</v>
      </c>
      <c r="K27" s="739">
        <v>45000</v>
      </c>
      <c r="L27" s="158"/>
      <c r="M27" s="739"/>
      <c r="N27" s="158">
        <v>29577</v>
      </c>
      <c r="O27" s="739">
        <v>59451</v>
      </c>
      <c r="P27" s="158">
        <v>17614</v>
      </c>
      <c r="Q27" s="739">
        <v>26634</v>
      </c>
      <c r="R27" s="158"/>
      <c r="S27" s="739"/>
      <c r="T27" s="158"/>
      <c r="U27" s="739"/>
      <c r="V27" s="158">
        <v>349185</v>
      </c>
      <c r="W27" s="739">
        <v>614437</v>
      </c>
      <c r="X27" s="158"/>
      <c r="Y27" s="739"/>
      <c r="Z27" s="256">
        <v>5628</v>
      </c>
      <c r="AA27" s="739">
        <v>11764</v>
      </c>
      <c r="AB27" s="158">
        <v>71268</v>
      </c>
      <c r="AC27" s="739">
        <v>76201</v>
      </c>
      <c r="AD27" s="158">
        <v>191035</v>
      </c>
      <c r="AE27" s="739">
        <v>203555</v>
      </c>
      <c r="AF27" s="490">
        <v>512852</v>
      </c>
      <c r="AG27" s="739">
        <v>413133</v>
      </c>
      <c r="AH27" s="158"/>
      <c r="AI27" s="739"/>
      <c r="AJ27" s="158">
        <v>13629</v>
      </c>
      <c r="AK27" s="739">
        <v>9714</v>
      </c>
      <c r="AL27" s="489"/>
      <c r="AM27" s="739"/>
      <c r="AN27" s="755">
        <v>436030</v>
      </c>
      <c r="AO27" s="751">
        <v>431563</v>
      </c>
      <c r="AP27" s="490"/>
      <c r="AQ27" s="739"/>
      <c r="AR27" s="157">
        <v>60442</v>
      </c>
      <c r="AS27" s="739">
        <v>11292</v>
      </c>
      <c r="AT27" s="158">
        <v>265306</v>
      </c>
      <c r="AU27" s="739">
        <v>217891</v>
      </c>
      <c r="AV27" s="508">
        <f t="shared" si="0"/>
        <v>2328630</v>
      </c>
      <c r="AW27" s="508">
        <f t="shared" si="1"/>
        <v>2440380</v>
      </c>
      <c r="AX27" s="157"/>
      <c r="AY27" s="739">
        <v>1421589</v>
      </c>
      <c r="AZ27" s="159">
        <f t="shared" si="2"/>
        <v>2328630</v>
      </c>
      <c r="BA27" s="159">
        <f t="shared" si="3"/>
        <v>3861969</v>
      </c>
    </row>
    <row r="28" spans="1:53" x14ac:dyDescent="0.3">
      <c r="A28" s="152" t="s">
        <v>100</v>
      </c>
      <c r="B28" s="153">
        <v>163614</v>
      </c>
      <c r="C28" s="739">
        <v>135556</v>
      </c>
      <c r="D28" s="158">
        <v>137765</v>
      </c>
      <c r="E28" s="739">
        <v>72753</v>
      </c>
      <c r="F28" s="158"/>
      <c r="G28" s="739">
        <v>38016</v>
      </c>
      <c r="H28" s="158">
        <v>184990</v>
      </c>
      <c r="I28" s="739">
        <v>173975</v>
      </c>
      <c r="J28" s="158">
        <v>54276</v>
      </c>
      <c r="K28" s="739">
        <v>46740</v>
      </c>
      <c r="L28" s="158">
        <v>58204</v>
      </c>
      <c r="M28" s="739">
        <v>26471</v>
      </c>
      <c r="N28" s="158">
        <v>86166</v>
      </c>
      <c r="O28" s="739">
        <v>96984</v>
      </c>
      <c r="P28" s="158">
        <v>147537</v>
      </c>
      <c r="Q28" s="739">
        <v>110850</v>
      </c>
      <c r="R28" s="158">
        <v>69747</v>
      </c>
      <c r="S28" s="739">
        <v>72734</v>
      </c>
      <c r="T28" s="158">
        <v>122570</v>
      </c>
      <c r="U28" s="739">
        <v>85174</v>
      </c>
      <c r="V28" s="158">
        <v>239060</v>
      </c>
      <c r="W28" s="739">
        <v>222985</v>
      </c>
      <c r="X28" s="158">
        <v>308613</v>
      </c>
      <c r="Y28" s="739">
        <v>296941</v>
      </c>
      <c r="Z28" s="256">
        <v>48207</v>
      </c>
      <c r="AA28" s="739">
        <v>52800</v>
      </c>
      <c r="AB28" s="158">
        <v>124243</v>
      </c>
      <c r="AC28" s="739">
        <v>84012</v>
      </c>
      <c r="AD28" s="158">
        <v>209600</v>
      </c>
      <c r="AE28" s="739">
        <v>203780</v>
      </c>
      <c r="AF28" s="490">
        <v>417880</v>
      </c>
      <c r="AG28" s="739">
        <v>397034</v>
      </c>
      <c r="AH28" s="158">
        <v>219048</v>
      </c>
      <c r="AI28" s="739">
        <v>165786</v>
      </c>
      <c r="AJ28" s="158">
        <v>148725</v>
      </c>
      <c r="AK28" s="739">
        <v>106463</v>
      </c>
      <c r="AL28" s="489"/>
      <c r="AM28" s="739"/>
      <c r="AN28" s="755">
        <v>579586</v>
      </c>
      <c r="AO28" s="751">
        <v>403464</v>
      </c>
      <c r="AP28" s="490">
        <v>81638</v>
      </c>
      <c r="AQ28" s="739">
        <v>66630</v>
      </c>
      <c r="AR28" s="157">
        <v>50128</v>
      </c>
      <c r="AS28" s="739">
        <v>44239</v>
      </c>
      <c r="AT28" s="158">
        <v>261612</v>
      </c>
      <c r="AU28" s="739">
        <v>238490</v>
      </c>
      <c r="AV28" s="508">
        <f t="shared" si="0"/>
        <v>3713209</v>
      </c>
      <c r="AW28" s="508">
        <f t="shared" si="1"/>
        <v>3141877</v>
      </c>
      <c r="AX28" s="157"/>
      <c r="AY28" s="739">
        <v>1759598</v>
      </c>
      <c r="AZ28" s="159">
        <f t="shared" si="2"/>
        <v>3713209</v>
      </c>
      <c r="BA28" s="159">
        <f t="shared" si="3"/>
        <v>4901475</v>
      </c>
    </row>
    <row r="29" spans="1:53" x14ac:dyDescent="0.3">
      <c r="A29" s="152" t="s">
        <v>101</v>
      </c>
      <c r="B29" s="153">
        <v>818</v>
      </c>
      <c r="C29" s="739">
        <v>3030</v>
      </c>
      <c r="D29" s="158"/>
      <c r="E29" s="739"/>
      <c r="F29" s="158"/>
      <c r="G29" s="739"/>
      <c r="H29" s="158"/>
      <c r="I29" s="739"/>
      <c r="J29" s="158"/>
      <c r="K29" s="739"/>
      <c r="L29" s="158"/>
      <c r="M29" s="739"/>
      <c r="N29" s="158">
        <f>568+3</f>
        <v>571</v>
      </c>
      <c r="O29" s="739">
        <f>-622+37</f>
        <v>-585</v>
      </c>
      <c r="P29" s="158"/>
      <c r="Q29" s="739"/>
      <c r="R29" s="158"/>
      <c r="S29" s="739"/>
      <c r="T29" s="158"/>
      <c r="U29" s="739"/>
      <c r="V29" s="158"/>
      <c r="W29" s="739"/>
      <c r="X29" s="158"/>
      <c r="Y29" s="739"/>
      <c r="Z29" s="256"/>
      <c r="AA29" s="739"/>
      <c r="AB29" s="158"/>
      <c r="AC29" s="739"/>
      <c r="AD29" s="158"/>
      <c r="AE29" s="739"/>
      <c r="AF29" s="490">
        <v>1349</v>
      </c>
      <c r="AG29" s="739">
        <v>2103</v>
      </c>
      <c r="AH29" s="158"/>
      <c r="AI29" s="739"/>
      <c r="AJ29" s="158"/>
      <c r="AK29" s="739"/>
      <c r="AL29" s="489"/>
      <c r="AM29" s="739"/>
      <c r="AN29" s="755"/>
      <c r="AO29" s="751"/>
      <c r="AP29" s="490"/>
      <c r="AQ29" s="739"/>
      <c r="AR29" s="157"/>
      <c r="AS29" s="739"/>
      <c r="AT29" s="158"/>
      <c r="AU29" s="739"/>
      <c r="AV29" s="508">
        <f t="shared" si="0"/>
        <v>2738</v>
      </c>
      <c r="AW29" s="508">
        <f t="shared" si="1"/>
        <v>4548</v>
      </c>
      <c r="AX29" s="157"/>
      <c r="AY29" s="739"/>
      <c r="AZ29" s="159">
        <f t="shared" si="2"/>
        <v>2738</v>
      </c>
      <c r="BA29" s="159">
        <f t="shared" si="3"/>
        <v>4548</v>
      </c>
    </row>
    <row r="30" spans="1:53" x14ac:dyDescent="0.3">
      <c r="A30" s="152" t="s">
        <v>102</v>
      </c>
      <c r="B30" s="153">
        <v>-1119</v>
      </c>
      <c r="C30" s="739">
        <v>-16820</v>
      </c>
      <c r="D30" s="158"/>
      <c r="E30" s="739"/>
      <c r="F30" s="158"/>
      <c r="G30" s="739"/>
      <c r="H30" s="158"/>
      <c r="I30" s="739"/>
      <c r="J30" s="158"/>
      <c r="K30" s="739"/>
      <c r="L30" s="158"/>
      <c r="M30" s="739"/>
      <c r="N30" s="158"/>
      <c r="O30" s="739"/>
      <c r="P30" s="158"/>
      <c r="Q30" s="739"/>
      <c r="R30" s="158"/>
      <c r="S30" s="739"/>
      <c r="T30" s="158"/>
      <c r="U30" s="739"/>
      <c r="V30" s="158"/>
      <c r="W30" s="739"/>
      <c r="X30" s="158"/>
      <c r="Y30" s="739"/>
      <c r="Z30" s="256"/>
      <c r="AA30" s="739"/>
      <c r="AB30" s="158"/>
      <c r="AC30" s="739"/>
      <c r="AD30" s="158"/>
      <c r="AE30" s="739"/>
      <c r="AF30" s="490"/>
      <c r="AG30" s="739"/>
      <c r="AH30" s="158"/>
      <c r="AI30" s="739"/>
      <c r="AJ30" s="158"/>
      <c r="AK30" s="739"/>
      <c r="AL30" s="489"/>
      <c r="AM30" s="739"/>
      <c r="AN30" s="755"/>
      <c r="AO30" s="751"/>
      <c r="AP30" s="490"/>
      <c r="AQ30" s="739"/>
      <c r="AR30" s="157"/>
      <c r="AS30" s="739"/>
      <c r="AT30" s="158"/>
      <c r="AU30" s="739"/>
      <c r="AV30" s="508">
        <f t="shared" si="0"/>
        <v>-1119</v>
      </c>
      <c r="AW30" s="508">
        <f t="shared" si="1"/>
        <v>-16820</v>
      </c>
      <c r="AX30" s="157"/>
      <c r="AY30" s="739"/>
      <c r="AZ30" s="159">
        <f t="shared" si="2"/>
        <v>-1119</v>
      </c>
      <c r="BA30" s="159">
        <f t="shared" si="3"/>
        <v>-16820</v>
      </c>
    </row>
    <row r="31" spans="1:53" x14ac:dyDescent="0.3">
      <c r="A31" s="152" t="s">
        <v>103</v>
      </c>
      <c r="B31" s="153"/>
      <c r="C31" s="739"/>
      <c r="D31" s="158">
        <v>9610</v>
      </c>
      <c r="E31" s="739">
        <v>28631</v>
      </c>
      <c r="F31" s="158"/>
      <c r="G31" s="739"/>
      <c r="H31" s="158">
        <v>192970</v>
      </c>
      <c r="I31" s="739">
        <v>190049</v>
      </c>
      <c r="J31" s="158"/>
      <c r="K31" s="739"/>
      <c r="L31" s="158"/>
      <c r="M31" s="739"/>
      <c r="N31" s="158">
        <v>25930</v>
      </c>
      <c r="O31" s="739">
        <v>15582</v>
      </c>
      <c r="P31" s="158">
        <v>170713</v>
      </c>
      <c r="Q31" s="739">
        <v>117744</v>
      </c>
      <c r="R31" s="158">
        <v>516516</v>
      </c>
      <c r="S31" s="739">
        <v>872387</v>
      </c>
      <c r="T31" s="158"/>
      <c r="U31" s="739"/>
      <c r="V31" s="158">
        <v>933444</v>
      </c>
      <c r="W31" s="739">
        <v>2177064</v>
      </c>
      <c r="X31" s="158">
        <v>237643</v>
      </c>
      <c r="Y31" s="739">
        <v>681488</v>
      </c>
      <c r="Z31" s="256">
        <v>31660</v>
      </c>
      <c r="AA31" s="739">
        <v>84603</v>
      </c>
      <c r="AB31" s="158"/>
      <c r="AC31" s="739"/>
      <c r="AD31" s="158">
        <v>200170</v>
      </c>
      <c r="AE31" s="739">
        <v>413253</v>
      </c>
      <c r="AF31" s="490"/>
      <c r="AG31" s="739"/>
      <c r="AH31" s="158">
        <v>25963</v>
      </c>
      <c r="AI31" s="739">
        <v>232585</v>
      </c>
      <c r="AJ31" s="158">
        <v>90969</v>
      </c>
      <c r="AK31" s="739">
        <v>127868</v>
      </c>
      <c r="AL31" s="489"/>
      <c r="AM31" s="739"/>
      <c r="AN31" s="755"/>
      <c r="AO31" s="751"/>
      <c r="AP31" s="490"/>
      <c r="AQ31" s="739"/>
      <c r="AR31" s="157">
        <v>35605</v>
      </c>
      <c r="AS31" s="739">
        <v>56588</v>
      </c>
      <c r="AT31" s="158">
        <f>24710+8583</f>
        <v>33293</v>
      </c>
      <c r="AU31" s="739">
        <f>68258+5452</f>
        <v>73710</v>
      </c>
      <c r="AV31" s="508">
        <f t="shared" si="0"/>
        <v>2504486</v>
      </c>
      <c r="AW31" s="508">
        <f t="shared" si="1"/>
        <v>5071552</v>
      </c>
      <c r="AX31" s="157"/>
      <c r="AY31" s="739">
        <v>12349343</v>
      </c>
      <c r="AZ31" s="159">
        <f t="shared" si="2"/>
        <v>2504486</v>
      </c>
      <c r="BA31" s="159">
        <f t="shared" si="3"/>
        <v>17420895</v>
      </c>
    </row>
    <row r="32" spans="1:53" x14ac:dyDescent="0.3">
      <c r="A32" s="152" t="s">
        <v>104</v>
      </c>
      <c r="B32" s="153"/>
      <c r="C32" s="739"/>
      <c r="D32" s="158">
        <v>29287</v>
      </c>
      <c r="E32" s="739">
        <v>44264</v>
      </c>
      <c r="F32" s="158"/>
      <c r="G32" s="739"/>
      <c r="H32" s="158"/>
      <c r="I32" s="739"/>
      <c r="J32" s="158"/>
      <c r="K32" s="739"/>
      <c r="L32" s="158"/>
      <c r="M32" s="739"/>
      <c r="N32" s="158">
        <v>6171</v>
      </c>
      <c r="O32" s="739">
        <v>12931</v>
      </c>
      <c r="P32" s="158">
        <v>77930</v>
      </c>
      <c r="Q32" s="739">
        <v>95092</v>
      </c>
      <c r="R32" s="158"/>
      <c r="S32" s="739"/>
      <c r="T32" s="158"/>
      <c r="U32" s="739"/>
      <c r="V32" s="158"/>
      <c r="W32" s="739"/>
      <c r="X32" s="158"/>
      <c r="Y32" s="739"/>
      <c r="Z32" s="256"/>
      <c r="AA32" s="739"/>
      <c r="AB32" s="158"/>
      <c r="AC32" s="739"/>
      <c r="AD32" s="158"/>
      <c r="AE32" s="739"/>
      <c r="AF32" s="490"/>
      <c r="AG32" s="739"/>
      <c r="AH32" s="158"/>
      <c r="AI32" s="739"/>
      <c r="AJ32" s="158">
        <v>95262</v>
      </c>
      <c r="AK32" s="739">
        <v>130487</v>
      </c>
      <c r="AL32" s="489"/>
      <c r="AM32" s="739"/>
      <c r="AN32" s="755"/>
      <c r="AO32" s="751"/>
      <c r="AP32" s="490"/>
      <c r="AQ32" s="739"/>
      <c r="AR32" s="157"/>
      <c r="AS32" s="739"/>
      <c r="AT32" s="158"/>
      <c r="AU32" s="739"/>
      <c r="AV32" s="508">
        <f t="shared" si="0"/>
        <v>208650</v>
      </c>
      <c r="AW32" s="508">
        <f t="shared" si="1"/>
        <v>282774</v>
      </c>
      <c r="AX32" s="157"/>
      <c r="AY32" s="739"/>
      <c r="AZ32" s="159">
        <f t="shared" si="2"/>
        <v>208650</v>
      </c>
      <c r="BA32" s="159">
        <f t="shared" si="3"/>
        <v>282774</v>
      </c>
    </row>
    <row r="33" spans="1:53" x14ac:dyDescent="0.3">
      <c r="A33" s="152" t="s">
        <v>105</v>
      </c>
      <c r="B33" s="153"/>
      <c r="C33" s="739"/>
      <c r="D33" s="158">
        <v>5955</v>
      </c>
      <c r="E33" s="739">
        <v>11001</v>
      </c>
      <c r="F33" s="158"/>
      <c r="G33" s="739"/>
      <c r="H33" s="158"/>
      <c r="I33" s="739"/>
      <c r="J33" s="158"/>
      <c r="K33" s="739"/>
      <c r="L33" s="158"/>
      <c r="M33" s="739"/>
      <c r="N33" s="158"/>
      <c r="O33" s="739"/>
      <c r="P33" s="158"/>
      <c r="Q33" s="739"/>
      <c r="R33" s="158"/>
      <c r="S33" s="739"/>
      <c r="T33" s="158"/>
      <c r="U33" s="739"/>
      <c r="V33" s="158"/>
      <c r="W33" s="739"/>
      <c r="X33" s="158">
        <v>69206</v>
      </c>
      <c r="Y33" s="739">
        <v>129470</v>
      </c>
      <c r="Z33" s="256"/>
      <c r="AA33" s="739"/>
      <c r="AB33" s="158">
        <v>14800</v>
      </c>
      <c r="AC33" s="739">
        <v>18300</v>
      </c>
      <c r="AD33" s="158"/>
      <c r="AE33" s="739"/>
      <c r="AF33" s="490">
        <v>5087</v>
      </c>
      <c r="AG33" s="739">
        <v>6366</v>
      </c>
      <c r="AH33" s="158">
        <v>56173</v>
      </c>
      <c r="AI33" s="739">
        <v>68528</v>
      </c>
      <c r="AJ33" s="158"/>
      <c r="AK33" s="739"/>
      <c r="AL33" s="489"/>
      <c r="AM33" s="739"/>
      <c r="AN33" s="755"/>
      <c r="AO33" s="751"/>
      <c r="AP33" s="490"/>
      <c r="AQ33" s="739"/>
      <c r="AR33" s="157"/>
      <c r="AS33" s="739"/>
      <c r="AT33" s="158"/>
      <c r="AU33" s="739"/>
      <c r="AV33" s="508">
        <f t="shared" si="0"/>
        <v>151221</v>
      </c>
      <c r="AW33" s="508">
        <f t="shared" si="1"/>
        <v>233665</v>
      </c>
      <c r="AX33" s="157"/>
      <c r="AY33" s="739"/>
      <c r="AZ33" s="159">
        <f t="shared" si="2"/>
        <v>151221</v>
      </c>
      <c r="BA33" s="159">
        <f t="shared" si="3"/>
        <v>233665</v>
      </c>
    </row>
    <row r="34" spans="1:53" x14ac:dyDescent="0.3">
      <c r="A34" s="152" t="s">
        <v>106</v>
      </c>
      <c r="B34" s="153">
        <v>45227</v>
      </c>
      <c r="C34" s="739">
        <v>60742</v>
      </c>
      <c r="D34" s="158">
        <v>2766</v>
      </c>
      <c r="E34" s="739">
        <v>7360</v>
      </c>
      <c r="F34" s="158"/>
      <c r="G34" s="739">
        <v>18246</v>
      </c>
      <c r="H34" s="158">
        <f>51092</f>
        <v>51092</v>
      </c>
      <c r="I34" s="739">
        <v>66676</v>
      </c>
      <c r="J34" s="158">
        <v>12029</v>
      </c>
      <c r="K34" s="739">
        <v>22637</v>
      </c>
      <c r="L34" s="158"/>
      <c r="M34" s="739"/>
      <c r="N34" s="158">
        <v>10116</v>
      </c>
      <c r="O34" s="739"/>
      <c r="P34" s="158"/>
      <c r="Q34" s="739"/>
      <c r="R34" s="158">
        <v>26519</v>
      </c>
      <c r="S34" s="739">
        <v>39251</v>
      </c>
      <c r="T34" s="158"/>
      <c r="U34" s="739"/>
      <c r="V34" s="158"/>
      <c r="W34" s="739"/>
      <c r="X34" s="158"/>
      <c r="Y34" s="739"/>
      <c r="Z34" s="256">
        <v>5714</v>
      </c>
      <c r="AA34" s="739">
        <v>12112</v>
      </c>
      <c r="AB34" s="158"/>
      <c r="AC34" s="739"/>
      <c r="AD34" s="158">
        <v>41950</v>
      </c>
      <c r="AE34" s="739">
        <v>58049</v>
      </c>
      <c r="AF34" s="490">
        <v>50875</v>
      </c>
      <c r="AG34" s="739">
        <v>113351</v>
      </c>
      <c r="AH34" s="158"/>
      <c r="AI34" s="739"/>
      <c r="AJ34" s="158"/>
      <c r="AK34" s="739"/>
      <c r="AL34" s="489"/>
      <c r="AM34" s="739"/>
      <c r="AN34" s="755"/>
      <c r="AO34" s="751"/>
      <c r="AP34" s="490"/>
      <c r="AQ34" s="739"/>
      <c r="AR34" s="157"/>
      <c r="AS34" s="739"/>
      <c r="AT34" s="158"/>
      <c r="AU34" s="739"/>
      <c r="AV34" s="508">
        <f t="shared" si="0"/>
        <v>246288</v>
      </c>
      <c r="AW34" s="508">
        <f t="shared" si="1"/>
        <v>398424</v>
      </c>
      <c r="AX34" s="157"/>
      <c r="AY34" s="739">
        <v>1316701</v>
      </c>
      <c r="AZ34" s="159">
        <f t="shared" si="2"/>
        <v>246288</v>
      </c>
      <c r="BA34" s="159">
        <f t="shared" si="3"/>
        <v>1715125</v>
      </c>
    </row>
    <row r="35" spans="1:53" x14ac:dyDescent="0.3">
      <c r="A35" s="152" t="s">
        <v>107</v>
      </c>
      <c r="B35" s="153">
        <v>31536</v>
      </c>
      <c r="C35" s="739">
        <v>45274</v>
      </c>
      <c r="D35" s="158">
        <v>3969</v>
      </c>
      <c r="E35" s="739">
        <v>20427</v>
      </c>
      <c r="F35" s="158"/>
      <c r="G35" s="739">
        <v>15099</v>
      </c>
      <c r="H35" s="158"/>
      <c r="I35" s="739"/>
      <c r="J35" s="158"/>
      <c r="K35" s="739"/>
      <c r="L35" s="158"/>
      <c r="M35" s="739"/>
      <c r="N35" s="158">
        <v>2542</v>
      </c>
      <c r="O35" s="739"/>
      <c r="P35" s="158"/>
      <c r="Q35" s="739"/>
      <c r="R35" s="158"/>
      <c r="S35" s="739"/>
      <c r="T35" s="158"/>
      <c r="U35" s="739"/>
      <c r="V35" s="158"/>
      <c r="W35" s="739"/>
      <c r="X35" s="158"/>
      <c r="Y35" s="739"/>
      <c r="Z35" s="256"/>
      <c r="AA35" s="739"/>
      <c r="AB35" s="158"/>
      <c r="AC35" s="739"/>
      <c r="AD35" s="158">
        <v>5932</v>
      </c>
      <c r="AE35" s="739">
        <v>21807</v>
      </c>
      <c r="AF35" s="490">
        <v>71583</v>
      </c>
      <c r="AG35" s="739">
        <v>185457</v>
      </c>
      <c r="AH35" s="158"/>
      <c r="AI35" s="739"/>
      <c r="AJ35" s="158"/>
      <c r="AK35" s="739"/>
      <c r="AL35" s="489"/>
      <c r="AM35" s="739"/>
      <c r="AN35" s="755"/>
      <c r="AO35" s="751"/>
      <c r="AP35" s="490"/>
      <c r="AQ35" s="739"/>
      <c r="AR35" s="157"/>
      <c r="AS35" s="739"/>
      <c r="AT35" s="748"/>
      <c r="AU35" s="739"/>
      <c r="AV35" s="508">
        <f t="shared" si="0"/>
        <v>115562</v>
      </c>
      <c r="AW35" s="508">
        <f t="shared" si="1"/>
        <v>288064</v>
      </c>
      <c r="AX35" s="157"/>
      <c r="AY35" s="739"/>
      <c r="AZ35" s="159">
        <f t="shared" si="2"/>
        <v>115562</v>
      </c>
      <c r="BA35" s="159">
        <f t="shared" si="3"/>
        <v>288064</v>
      </c>
    </row>
    <row r="36" spans="1:53" x14ac:dyDescent="0.3">
      <c r="A36" s="152" t="s">
        <v>108</v>
      </c>
      <c r="B36" s="153">
        <v>44202</v>
      </c>
      <c r="C36" s="739">
        <v>35161</v>
      </c>
      <c r="D36" s="158">
        <v>5557</v>
      </c>
      <c r="E36" s="739">
        <v>3536</v>
      </c>
      <c r="F36" s="158"/>
      <c r="G36" s="739">
        <v>7602</v>
      </c>
      <c r="H36" s="158">
        <v>51257</v>
      </c>
      <c r="I36" s="739">
        <v>67011</v>
      </c>
      <c r="J36" s="158">
        <f>4638+27171+9960+13904+2367+4329</f>
        <v>62369</v>
      </c>
      <c r="K36" s="739">
        <f>13592+28832+13156+11124+2734+14285</f>
        <v>83723</v>
      </c>
      <c r="L36" s="158">
        <v>107615</v>
      </c>
      <c r="M36" s="739">
        <v>103673</v>
      </c>
      <c r="N36" s="158">
        <v>8021</v>
      </c>
      <c r="O36" s="739">
        <v>65981</v>
      </c>
      <c r="P36" s="158">
        <v>10992</v>
      </c>
      <c r="Q36" s="739">
        <v>15414</v>
      </c>
      <c r="R36" s="158">
        <f>2552+13966</f>
        <v>16518</v>
      </c>
      <c r="S36" s="739">
        <f>4911+13425</f>
        <v>18336</v>
      </c>
      <c r="T36" s="158">
        <f>3958+5673</f>
        <v>9631</v>
      </c>
      <c r="U36" s="739">
        <f>9008+6849</f>
        <v>15857</v>
      </c>
      <c r="V36" s="158">
        <v>365092</v>
      </c>
      <c r="W36" s="739">
        <v>414638</v>
      </c>
      <c r="X36" s="158">
        <v>57943</v>
      </c>
      <c r="Y36" s="739">
        <v>125492</v>
      </c>
      <c r="Z36" s="256">
        <f>13397+5264</f>
        <v>18661</v>
      </c>
      <c r="AA36" s="739">
        <f>22756+5979</f>
        <v>28735</v>
      </c>
      <c r="AB36" s="158"/>
      <c r="AC36" s="739"/>
      <c r="AD36" s="536">
        <f>128237+12728-7460</f>
        <v>133505</v>
      </c>
      <c r="AE36" s="739">
        <f>189508+11801+96492</f>
        <v>297801</v>
      </c>
      <c r="AF36" s="490">
        <f>11728+47253</f>
        <v>58981</v>
      </c>
      <c r="AG36" s="739">
        <f>20257+59303</f>
        <v>79560</v>
      </c>
      <c r="AH36" s="158">
        <v>-8533</v>
      </c>
      <c r="AI36" s="739">
        <v>11612</v>
      </c>
      <c r="AJ36" s="158">
        <v>18647</v>
      </c>
      <c r="AK36" s="739">
        <v>55158</v>
      </c>
      <c r="AL36" s="489"/>
      <c r="AM36" s="739"/>
      <c r="AN36" s="755">
        <v>206908</v>
      </c>
      <c r="AO36" s="751">
        <v>436996</v>
      </c>
      <c r="AP36" s="490">
        <v>100726</v>
      </c>
      <c r="AQ36" s="739">
        <v>155308</v>
      </c>
      <c r="AR36" s="157">
        <v>11765</v>
      </c>
      <c r="AS36" s="739">
        <v>12351</v>
      </c>
      <c r="AT36" s="158">
        <f>5950+48307</f>
        <v>54257</v>
      </c>
      <c r="AU36" s="739">
        <f>3900-13910</f>
        <v>-10010</v>
      </c>
      <c r="AV36" s="508">
        <f t="shared" si="0"/>
        <v>1334114</v>
      </c>
      <c r="AW36" s="508">
        <f t="shared" si="1"/>
        <v>2023935</v>
      </c>
      <c r="AX36" s="158"/>
      <c r="AY36" s="739">
        <f>2589878+318754+93754+15959</f>
        <v>3018345</v>
      </c>
      <c r="AZ36" s="159">
        <f t="shared" si="2"/>
        <v>1334114</v>
      </c>
      <c r="BA36" s="159">
        <f t="shared" si="3"/>
        <v>5042280</v>
      </c>
    </row>
    <row r="37" spans="1:53" ht="17.25" thickBot="1" x14ac:dyDescent="0.35">
      <c r="A37" s="162" t="s">
        <v>109</v>
      </c>
      <c r="B37" s="163">
        <v>139869</v>
      </c>
      <c r="C37" s="739">
        <v>150819</v>
      </c>
      <c r="D37" s="743"/>
      <c r="E37" s="739"/>
      <c r="F37" s="743"/>
      <c r="G37" s="739"/>
      <c r="H37" s="743">
        <v>100972</v>
      </c>
      <c r="I37" s="739">
        <v>103692</v>
      </c>
      <c r="J37" s="743"/>
      <c r="K37" s="739"/>
      <c r="L37" s="743"/>
      <c r="M37" s="739"/>
      <c r="N37" s="743"/>
      <c r="O37" s="739"/>
      <c r="P37" s="743"/>
      <c r="Q37" s="739"/>
      <c r="R37" s="743"/>
      <c r="S37" s="739"/>
      <c r="T37" s="743">
        <v>41188</v>
      </c>
      <c r="U37" s="739">
        <v>33952</v>
      </c>
      <c r="V37" s="743"/>
      <c r="W37" s="739"/>
      <c r="X37" s="743"/>
      <c r="Y37" s="739"/>
      <c r="Z37" s="760"/>
      <c r="AA37" s="739"/>
      <c r="AB37" s="743">
        <v>41821</v>
      </c>
      <c r="AC37" s="739">
        <v>42192</v>
      </c>
      <c r="AD37" s="759"/>
      <c r="AE37" s="739"/>
      <c r="AF37" s="752"/>
      <c r="AG37" s="739"/>
      <c r="AH37" s="743"/>
      <c r="AI37" s="739"/>
      <c r="AJ37" s="743"/>
      <c r="AK37" s="739"/>
      <c r="AL37" s="757"/>
      <c r="AM37" s="739"/>
      <c r="AN37" s="756"/>
      <c r="AO37" s="751"/>
      <c r="AP37" s="752"/>
      <c r="AQ37" s="739"/>
      <c r="AR37" s="157"/>
      <c r="AS37" s="739"/>
      <c r="AT37" s="743"/>
      <c r="AU37" s="739"/>
      <c r="AV37" s="508">
        <f t="shared" si="0"/>
        <v>323850</v>
      </c>
      <c r="AW37" s="508">
        <f t="shared" si="1"/>
        <v>330655</v>
      </c>
      <c r="AX37" s="743"/>
      <c r="AY37" s="739"/>
      <c r="AZ37" s="159">
        <f t="shared" si="2"/>
        <v>323850</v>
      </c>
      <c r="BA37" s="159">
        <f t="shared" si="3"/>
        <v>330655</v>
      </c>
    </row>
    <row r="38" spans="1:53" s="404" customFormat="1" ht="18.75" thickBot="1" x14ac:dyDescent="0.4">
      <c r="A38" s="621" t="s">
        <v>54</v>
      </c>
      <c r="B38" s="625">
        <f>SUM(B5:B37)</f>
        <v>5649710</v>
      </c>
      <c r="C38" s="745">
        <f t="shared" ref="C38:AH38" si="4">SUM(C5:C37)</f>
        <v>5987417</v>
      </c>
      <c r="D38" s="625">
        <f t="shared" si="4"/>
        <v>1032116</v>
      </c>
      <c r="E38" s="745">
        <f t="shared" si="4"/>
        <v>1102994</v>
      </c>
      <c r="F38" s="625">
        <f t="shared" si="4"/>
        <v>0</v>
      </c>
      <c r="G38" s="745">
        <f t="shared" si="4"/>
        <v>1462511</v>
      </c>
      <c r="H38" s="625">
        <f t="shared" si="4"/>
        <v>7693223</v>
      </c>
      <c r="I38" s="745">
        <f t="shared" si="4"/>
        <v>8785157</v>
      </c>
      <c r="J38" s="625">
        <f t="shared" si="4"/>
        <v>2875951</v>
      </c>
      <c r="K38" s="745">
        <f t="shared" si="4"/>
        <v>3799613</v>
      </c>
      <c r="L38" s="625">
        <f t="shared" si="4"/>
        <v>2733115</v>
      </c>
      <c r="M38" s="745">
        <f t="shared" si="4"/>
        <v>2350198</v>
      </c>
      <c r="N38" s="625">
        <f t="shared" si="4"/>
        <v>1226273</v>
      </c>
      <c r="O38" s="745">
        <f t="shared" si="4"/>
        <v>1648963</v>
      </c>
      <c r="P38" s="625">
        <f t="shared" si="4"/>
        <v>2584182</v>
      </c>
      <c r="Q38" s="745">
        <f t="shared" si="4"/>
        <v>2559991</v>
      </c>
      <c r="R38" s="625">
        <f t="shared" si="4"/>
        <v>2934697</v>
      </c>
      <c r="S38" s="745">
        <f t="shared" si="4"/>
        <v>3807473</v>
      </c>
      <c r="T38" s="625">
        <f t="shared" si="4"/>
        <v>2407100</v>
      </c>
      <c r="U38" s="745">
        <f t="shared" si="4"/>
        <v>3004094</v>
      </c>
      <c r="V38" s="625">
        <f>SUM(V5:V37)</f>
        <v>17685702</v>
      </c>
      <c r="W38" s="745">
        <f t="shared" si="4"/>
        <v>19635159</v>
      </c>
      <c r="X38" s="625">
        <f t="shared" si="4"/>
        <v>11338854</v>
      </c>
      <c r="Y38" s="745">
        <f t="shared" si="4"/>
        <v>13600015</v>
      </c>
      <c r="Z38" s="625">
        <f t="shared" si="4"/>
        <v>998480</v>
      </c>
      <c r="AA38" s="745">
        <f t="shared" si="4"/>
        <v>1213828</v>
      </c>
      <c r="AB38" s="625">
        <f t="shared" si="4"/>
        <v>2344290</v>
      </c>
      <c r="AC38" s="745">
        <f t="shared" si="4"/>
        <v>2083328</v>
      </c>
      <c r="AD38" s="625">
        <f t="shared" si="4"/>
        <v>6449329</v>
      </c>
      <c r="AE38" s="745">
        <f t="shared" si="4"/>
        <v>7055965</v>
      </c>
      <c r="AF38" s="625">
        <f t="shared" si="4"/>
        <v>11232445</v>
      </c>
      <c r="AG38" s="745">
        <f t="shared" si="4"/>
        <v>10700156</v>
      </c>
      <c r="AH38" s="625">
        <f t="shared" si="4"/>
        <v>4468227</v>
      </c>
      <c r="AI38" s="745">
        <f t="shared" ref="AI38:AU38" si="5">SUM(AI5:AI37)</f>
        <v>4472774</v>
      </c>
      <c r="AJ38" s="625">
        <f t="shared" si="5"/>
        <v>5071804</v>
      </c>
      <c r="AK38" s="745">
        <f t="shared" si="5"/>
        <v>5306929</v>
      </c>
      <c r="AL38" s="625">
        <f t="shared" si="5"/>
        <v>0</v>
      </c>
      <c r="AM38" s="745">
        <f t="shared" si="5"/>
        <v>0</v>
      </c>
      <c r="AN38" s="625">
        <f t="shared" si="5"/>
        <v>11258005</v>
      </c>
      <c r="AO38" s="745">
        <f t="shared" si="5"/>
        <v>10995512</v>
      </c>
      <c r="AP38" s="625">
        <f t="shared" si="5"/>
        <v>2191555</v>
      </c>
      <c r="AQ38" s="745">
        <f t="shared" si="5"/>
        <v>2244051</v>
      </c>
      <c r="AR38" s="625">
        <f t="shared" si="5"/>
        <v>1768663</v>
      </c>
      <c r="AS38" s="745">
        <f t="shared" si="5"/>
        <v>1730529</v>
      </c>
      <c r="AT38" s="625">
        <f t="shared" si="5"/>
        <v>7704422</v>
      </c>
      <c r="AU38" s="745">
        <f t="shared" si="5"/>
        <v>7384019</v>
      </c>
      <c r="AV38" s="163">
        <f>SUM(B38+D38+F38+H38+J38+L38+N38+P38+R38+T38+V38+X38+Z38+AB38+AD38+AF38+AH38+AJ38+AL38+AN38+AP38+AR38+AT38)</f>
        <v>111648143</v>
      </c>
      <c r="AW38" s="741">
        <f>SUM(C38+E38+G38+I38+K38+M38+O38+Q38+S38+U38+W38+Y38+AA38+AC38+AE38+AG38+AI38+AK38+AM38+AO38+AQ38+AS38+AU38)</f>
        <v>120930676</v>
      </c>
      <c r="AX38" s="622">
        <f>SUM(AX5:AX37)</f>
        <v>0</v>
      </c>
      <c r="AY38" s="622">
        <f>SUM(AY5:AY37)</f>
        <v>154714012</v>
      </c>
      <c r="AZ38" s="153">
        <f>AV38+AX38</f>
        <v>111648143</v>
      </c>
      <c r="BA38" s="154">
        <f>AW38+AY38</f>
        <v>275644688</v>
      </c>
    </row>
    <row r="39" spans="1:53" x14ac:dyDescent="0.3">
      <c r="A39" s="623" t="s">
        <v>110</v>
      </c>
      <c r="B39" s="626"/>
      <c r="C39" s="742"/>
      <c r="D39" s="744"/>
      <c r="E39" s="740"/>
      <c r="F39" s="744"/>
      <c r="G39" s="740"/>
      <c r="H39" s="744"/>
      <c r="I39" s="740"/>
      <c r="J39" s="744"/>
      <c r="K39" s="740"/>
      <c r="L39" s="744"/>
      <c r="M39" s="740"/>
      <c r="N39" s="744"/>
      <c r="O39" s="740"/>
      <c r="P39" s="744"/>
      <c r="Q39" s="740"/>
      <c r="R39" s="744"/>
      <c r="S39" s="740"/>
      <c r="T39" s="744"/>
      <c r="U39" s="740"/>
      <c r="V39" s="744"/>
      <c r="W39" s="740"/>
      <c r="X39" s="744"/>
      <c r="Y39" s="740"/>
      <c r="Z39" s="750"/>
      <c r="AA39" s="747"/>
      <c r="AB39" s="744"/>
      <c r="AC39" s="740"/>
      <c r="AD39" s="744"/>
      <c r="AE39" s="740"/>
      <c r="AF39" s="753"/>
      <c r="AG39" s="749"/>
      <c r="AH39" s="744"/>
      <c r="AI39" s="740"/>
      <c r="AJ39" s="744"/>
      <c r="AK39" s="740"/>
      <c r="AL39" s="758"/>
      <c r="AM39" s="740"/>
      <c r="AN39" s="744"/>
      <c r="AO39" s="740"/>
      <c r="AP39" s="753"/>
      <c r="AQ39" s="749"/>
      <c r="AR39" s="750"/>
      <c r="AS39" s="747"/>
      <c r="AT39" s="744"/>
      <c r="AU39" s="740"/>
      <c r="AV39" s="746">
        <f>SUM(B39+D39+F39+H39+J39+L39+N39+P39+R39+T39+V39+X39+Z39+AB39+AD39+AF39+AH39+AJ39+AL39+AN39+AP39+AR39+AT39)</f>
        <v>0</v>
      </c>
      <c r="AW39" s="742">
        <f>SUM(C39+E39+G39+I39+K39+M39+O39+Q39+S39+U39+W39+Y39+AA39+AC39+AE39+AG39+AI39+AK39+AM39+AO39+AQ39+AS39+AU39)</f>
        <v>0</v>
      </c>
      <c r="AX39" s="744"/>
      <c r="AY39" s="740"/>
      <c r="AZ39" s="159">
        <f>AV39+AX39</f>
        <v>0</v>
      </c>
      <c r="BA39" s="160"/>
    </row>
    <row r="40" spans="1:53" ht="17.25" thickBot="1" x14ac:dyDescent="0.35">
      <c r="A40" s="624"/>
      <c r="B40" s="448"/>
      <c r="C40" s="494"/>
      <c r="D40" s="448"/>
      <c r="E40" s="494"/>
      <c r="F40" s="448"/>
      <c r="G40" s="494"/>
      <c r="H40" s="448"/>
      <c r="I40" s="494"/>
      <c r="J40" s="448"/>
      <c r="K40" s="494"/>
      <c r="L40" s="448"/>
      <c r="M40" s="494"/>
      <c r="N40" s="448"/>
      <c r="O40" s="494"/>
      <c r="P40" s="448"/>
      <c r="Q40" s="494"/>
      <c r="R40" s="448"/>
      <c r="S40" s="494"/>
      <c r="T40" s="448"/>
      <c r="U40" s="494"/>
      <c r="V40" s="448"/>
      <c r="W40" s="494"/>
      <c r="X40" s="448"/>
      <c r="Y40" s="494"/>
      <c r="Z40" s="448"/>
      <c r="AA40" s="494"/>
      <c r="AB40" s="448"/>
      <c r="AC40" s="494"/>
      <c r="AD40" s="448"/>
      <c r="AE40" s="494"/>
      <c r="AF40" s="448"/>
      <c r="AG40" s="494"/>
      <c r="AH40" s="448"/>
      <c r="AI40" s="494"/>
      <c r="AJ40" s="448"/>
      <c r="AK40" s="494"/>
      <c r="AL40" s="448"/>
      <c r="AM40" s="494"/>
      <c r="AN40" s="448"/>
      <c r="AO40" s="494"/>
      <c r="AP40" s="448"/>
      <c r="AQ40" s="494"/>
      <c r="AR40" s="448"/>
      <c r="AS40" s="494"/>
      <c r="AT40" s="448"/>
      <c r="AU40" s="494"/>
      <c r="AV40" s="448"/>
      <c r="AW40" s="494"/>
      <c r="AX40" s="448"/>
      <c r="AY40" s="494"/>
      <c r="AZ40" s="448"/>
      <c r="BA40" s="449"/>
    </row>
  </sheetData>
  <mergeCells count="29">
    <mergeCell ref="AD3:AE3"/>
    <mergeCell ref="AF3:AG3"/>
    <mergeCell ref="AH3:AI3"/>
    <mergeCell ref="X3:Y3"/>
    <mergeCell ref="F3:G3"/>
    <mergeCell ref="H3:I3"/>
    <mergeCell ref="J3:K3"/>
    <mergeCell ref="L3:M3"/>
    <mergeCell ref="N3:O3"/>
    <mergeCell ref="AN3:AO3"/>
    <mergeCell ref="AP3:AQ3"/>
    <mergeCell ref="AR3:AS3"/>
    <mergeCell ref="AL3:AM3"/>
    <mergeCell ref="P3:Q3"/>
    <mergeCell ref="R3:S3"/>
    <mergeCell ref="T3:U3"/>
    <mergeCell ref="V3:W3"/>
    <mergeCell ref="Z3:AA3"/>
    <mergeCell ref="AB3:AC3"/>
    <mergeCell ref="AT3:AU3"/>
    <mergeCell ref="AV3:AW3"/>
    <mergeCell ref="AX3:AY3"/>
    <mergeCell ref="A1:AZ1"/>
    <mergeCell ref="A2:AZ2"/>
    <mergeCell ref="A3:A4"/>
    <mergeCell ref="B3:C3"/>
    <mergeCell ref="D3:E3"/>
    <mergeCell ref="AJ3:AK3"/>
    <mergeCell ref="AZ3:BA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BG39"/>
  <sheetViews>
    <sheetView topLeftCell="A2" workbookViewId="0">
      <pane xSplit="1" topLeftCell="B1" activePane="topRight" state="frozen"/>
      <selection pane="topRight" activeCell="AC22" sqref="AC22"/>
    </sheetView>
  </sheetViews>
  <sheetFormatPr defaultRowHeight="15" x14ac:dyDescent="0.25"/>
  <cols>
    <col min="1" max="1" width="37.28515625" style="136" bestFit="1" customWidth="1"/>
    <col min="2" max="11" width="12.42578125" bestFit="1" customWidth="1"/>
    <col min="12" max="12" width="11.42578125" bestFit="1" customWidth="1"/>
    <col min="13" max="13" width="11.7109375" bestFit="1" customWidth="1"/>
    <col min="14" max="14" width="11.42578125" bestFit="1" customWidth="1"/>
    <col min="15" max="15" width="11.7109375" bestFit="1" customWidth="1"/>
    <col min="16" max="16" width="11.42578125" bestFit="1" customWidth="1"/>
    <col min="17" max="17" width="11.7109375" bestFit="1" customWidth="1"/>
    <col min="18" max="18" width="11.42578125" bestFit="1" customWidth="1"/>
    <col min="19" max="19" width="12.42578125" bestFit="1" customWidth="1"/>
    <col min="20" max="20" width="11.42578125" bestFit="1" customWidth="1"/>
    <col min="21" max="21" width="11.7109375" bestFit="1" customWidth="1"/>
    <col min="22" max="22" width="11.42578125" style="134" bestFit="1" customWidth="1"/>
    <col min="23" max="23" width="11.7109375" style="134" bestFit="1" customWidth="1"/>
    <col min="24" max="24" width="11.7109375" bestFit="1" customWidth="1"/>
    <col min="25" max="27" width="12.42578125" bestFit="1" customWidth="1"/>
    <col min="28" max="28" width="11.42578125" bestFit="1" customWidth="1"/>
    <col min="29" max="29" width="12.42578125" bestFit="1" customWidth="1"/>
    <col min="30" max="30" width="11.42578125" bestFit="1" customWidth="1"/>
    <col min="31" max="32" width="12.42578125" bestFit="1" customWidth="1"/>
    <col min="33" max="33" width="12.85546875" customWidth="1"/>
    <col min="34" max="34" width="11.42578125" bestFit="1" customWidth="1"/>
    <col min="35" max="35" width="12.42578125" bestFit="1" customWidth="1"/>
    <col min="36" max="36" width="11.42578125" bestFit="1" customWidth="1"/>
    <col min="37" max="37" width="12.42578125" bestFit="1" customWidth="1"/>
    <col min="38" max="38" width="11.42578125" bestFit="1" customWidth="1"/>
    <col min="39" max="39" width="12.42578125" bestFit="1" customWidth="1"/>
    <col min="40" max="41" width="11.42578125" customWidth="1"/>
    <col min="42" max="43" width="10.5703125" style="134" customWidth="1"/>
    <col min="44" max="47" width="12.42578125" style="134" bestFit="1" customWidth="1"/>
    <col min="48" max="48" width="11.42578125" style="135" bestFit="1" customWidth="1"/>
    <col min="49" max="49" width="12.42578125" style="135" bestFit="1" customWidth="1"/>
    <col min="50" max="50" width="11.42578125" style="135" bestFit="1" customWidth="1"/>
    <col min="51" max="51" width="12.42578125" style="135" bestFit="1" customWidth="1"/>
    <col min="52" max="52" width="11.42578125" style="135" bestFit="1" customWidth="1"/>
    <col min="53" max="53" width="12.42578125" style="135" bestFit="1" customWidth="1"/>
    <col min="57" max="57" width="11.42578125" customWidth="1"/>
    <col min="58" max="58" width="13" customWidth="1"/>
    <col min="59" max="59" width="11.5703125" customWidth="1"/>
  </cols>
  <sheetData>
    <row r="1" spans="1:59" s="67" customFormat="1" ht="13.5" customHeight="1" x14ac:dyDescent="0.35">
      <c r="A1" s="1246" t="s">
        <v>149</v>
      </c>
      <c r="B1" s="1246"/>
      <c r="C1" s="1246"/>
      <c r="D1" s="1246"/>
      <c r="E1" s="1246"/>
      <c r="F1" s="1246"/>
      <c r="G1" s="1246"/>
      <c r="H1" s="1246"/>
      <c r="I1" s="1246"/>
      <c r="J1" s="1246"/>
      <c r="K1" s="1246"/>
      <c r="L1" s="1246"/>
      <c r="M1" s="1246"/>
      <c r="N1" s="1246"/>
      <c r="O1" s="1246"/>
      <c r="P1" s="1246"/>
      <c r="Q1" s="1246"/>
      <c r="R1" s="1246"/>
      <c r="S1" s="1246"/>
      <c r="T1" s="1246"/>
      <c r="U1" s="1246"/>
      <c r="V1" s="1246"/>
      <c r="W1" s="1246"/>
      <c r="X1" s="1246"/>
      <c r="Y1" s="1246"/>
      <c r="Z1" s="1246"/>
      <c r="AA1" s="1246"/>
      <c r="AB1" s="1246"/>
      <c r="AC1" s="1246"/>
      <c r="AD1" s="1246"/>
      <c r="AE1" s="1246"/>
      <c r="AF1" s="1246"/>
      <c r="AG1" s="1246"/>
      <c r="AH1" s="1246"/>
      <c r="AI1" s="1246"/>
      <c r="AJ1" s="1246"/>
      <c r="AK1" s="1246"/>
      <c r="AL1" s="1246"/>
      <c r="AM1" s="1246"/>
      <c r="AN1" s="1246"/>
      <c r="AO1" s="1246"/>
      <c r="AP1" s="1246"/>
      <c r="AQ1" s="1246"/>
      <c r="AR1" s="1246"/>
      <c r="AS1" s="1246"/>
      <c r="AT1" s="1246"/>
      <c r="AU1" s="1246"/>
      <c r="AV1" s="1246"/>
      <c r="AW1" s="1246"/>
      <c r="AX1" s="1246"/>
      <c r="AY1" s="1246"/>
      <c r="AZ1" s="1246"/>
      <c r="BA1" s="101"/>
    </row>
    <row r="2" spans="1:59" s="67" customFormat="1" ht="14.25" customHeight="1" thickBot="1" x14ac:dyDescent="0.35">
      <c r="A2" s="1247" t="s">
        <v>59</v>
      </c>
      <c r="B2" s="1247"/>
      <c r="C2" s="1247"/>
      <c r="D2" s="1247"/>
      <c r="E2" s="1247"/>
      <c r="F2" s="1247"/>
      <c r="G2" s="1247"/>
      <c r="H2" s="1247"/>
      <c r="I2" s="1247"/>
      <c r="J2" s="1247"/>
      <c r="K2" s="1247"/>
      <c r="L2" s="1247"/>
      <c r="M2" s="1247"/>
      <c r="N2" s="1247"/>
      <c r="O2" s="1247"/>
      <c r="P2" s="1247"/>
      <c r="Q2" s="1247"/>
      <c r="R2" s="1247"/>
      <c r="S2" s="1247"/>
      <c r="T2" s="1247"/>
      <c r="U2" s="1247"/>
      <c r="V2" s="1247"/>
      <c r="W2" s="1247"/>
      <c r="X2" s="1247"/>
      <c r="Y2" s="1247"/>
      <c r="Z2" s="1247"/>
      <c r="AA2" s="1247"/>
      <c r="AB2" s="1247"/>
      <c r="AC2" s="1247"/>
      <c r="AD2" s="1247"/>
      <c r="AE2" s="1247"/>
      <c r="AF2" s="1247"/>
      <c r="AG2" s="1247"/>
      <c r="AH2" s="1247"/>
      <c r="AI2" s="1247"/>
      <c r="AJ2" s="1247"/>
      <c r="AK2" s="1247"/>
      <c r="AL2" s="1247"/>
      <c r="AM2" s="1247"/>
      <c r="AN2" s="1247"/>
      <c r="AO2" s="1247"/>
      <c r="AP2" s="1247"/>
      <c r="AQ2" s="1247"/>
      <c r="AR2" s="1247"/>
      <c r="AS2" s="1247"/>
      <c r="AT2" s="1247"/>
      <c r="AU2" s="1247"/>
      <c r="AV2" s="1247"/>
      <c r="AW2" s="1247"/>
      <c r="AX2" s="1247"/>
      <c r="AY2" s="1247"/>
      <c r="AZ2" s="1247"/>
      <c r="BA2" s="101"/>
    </row>
    <row r="3" spans="1:59" s="322" customFormat="1" ht="57.75" customHeight="1" thickBot="1" x14ac:dyDescent="0.35">
      <c r="A3" s="1248" t="s">
        <v>0</v>
      </c>
      <c r="B3" s="1251" t="s">
        <v>153</v>
      </c>
      <c r="C3" s="1252"/>
      <c r="D3" s="1253" t="s">
        <v>154</v>
      </c>
      <c r="E3" s="1254"/>
      <c r="F3" s="1253" t="s">
        <v>155</v>
      </c>
      <c r="G3" s="1250"/>
      <c r="H3" s="1253" t="s">
        <v>156</v>
      </c>
      <c r="I3" s="1250"/>
      <c r="J3" s="1253" t="s">
        <v>157</v>
      </c>
      <c r="K3" s="1254"/>
      <c r="L3" s="1250" t="s">
        <v>158</v>
      </c>
      <c r="M3" s="1250"/>
      <c r="N3" s="1253" t="s">
        <v>291</v>
      </c>
      <c r="O3" s="1254"/>
      <c r="P3" s="1250" t="s">
        <v>159</v>
      </c>
      <c r="Q3" s="1250"/>
      <c r="R3" s="1253" t="s">
        <v>160</v>
      </c>
      <c r="S3" s="1250"/>
      <c r="T3" s="1253" t="s">
        <v>161</v>
      </c>
      <c r="U3" s="1250"/>
      <c r="V3" s="1255" t="s">
        <v>162</v>
      </c>
      <c r="W3" s="1256"/>
      <c r="X3" s="1253" t="s">
        <v>163</v>
      </c>
      <c r="Y3" s="1250"/>
      <c r="Z3" s="1253" t="s">
        <v>164</v>
      </c>
      <c r="AA3" s="1250"/>
      <c r="AB3" s="1253" t="s">
        <v>165</v>
      </c>
      <c r="AC3" s="1250"/>
      <c r="AD3" s="1257" t="s">
        <v>166</v>
      </c>
      <c r="AE3" s="1258"/>
      <c r="AF3" s="1253" t="s">
        <v>167</v>
      </c>
      <c r="AG3" s="1250"/>
      <c r="AH3" s="1253" t="s">
        <v>168</v>
      </c>
      <c r="AI3" s="1250"/>
      <c r="AJ3" s="1253" t="s">
        <v>169</v>
      </c>
      <c r="AK3" s="1250"/>
      <c r="AL3" s="1257" t="s">
        <v>295</v>
      </c>
      <c r="AM3" s="1259"/>
      <c r="AN3" s="1253" t="s">
        <v>171</v>
      </c>
      <c r="AO3" s="1254"/>
      <c r="AP3" s="1255" t="s">
        <v>172</v>
      </c>
      <c r="AQ3" s="1262"/>
      <c r="AR3" s="1255" t="s">
        <v>173</v>
      </c>
      <c r="AS3" s="1262"/>
      <c r="AT3" s="1255" t="s">
        <v>174</v>
      </c>
      <c r="AU3" s="1262"/>
      <c r="AV3" s="1255" t="s">
        <v>1</v>
      </c>
      <c r="AW3" s="1262"/>
      <c r="AX3" s="1263" t="s">
        <v>175</v>
      </c>
      <c r="AY3" s="1264"/>
      <c r="AZ3" s="1260" t="s">
        <v>2</v>
      </c>
      <c r="BA3" s="1261"/>
    </row>
    <row r="4" spans="1:59" s="367" customFormat="1" ht="15" customHeight="1" thickBot="1" x14ac:dyDescent="0.35">
      <c r="A4" s="1249"/>
      <c r="B4" s="440" t="s">
        <v>290</v>
      </c>
      <c r="C4" s="416" t="s">
        <v>279</v>
      </c>
      <c r="D4" s="440" t="s">
        <v>290</v>
      </c>
      <c r="E4" s="416" t="s">
        <v>279</v>
      </c>
      <c r="F4" s="440" t="s">
        <v>290</v>
      </c>
      <c r="G4" s="423" t="s">
        <v>279</v>
      </c>
      <c r="H4" s="440" t="s">
        <v>290</v>
      </c>
      <c r="I4" s="423" t="s">
        <v>279</v>
      </c>
      <c r="J4" s="440" t="s">
        <v>290</v>
      </c>
      <c r="K4" s="416" t="s">
        <v>279</v>
      </c>
      <c r="L4" s="423" t="s">
        <v>290</v>
      </c>
      <c r="M4" s="423" t="s">
        <v>279</v>
      </c>
      <c r="N4" s="440" t="s">
        <v>290</v>
      </c>
      <c r="O4" s="416" t="s">
        <v>279</v>
      </c>
      <c r="P4" s="423" t="s">
        <v>290</v>
      </c>
      <c r="Q4" s="423" t="s">
        <v>279</v>
      </c>
      <c r="R4" s="423" t="s">
        <v>290</v>
      </c>
      <c r="S4" s="423" t="s">
        <v>279</v>
      </c>
      <c r="T4" s="440" t="s">
        <v>290</v>
      </c>
      <c r="U4" s="423" t="s">
        <v>279</v>
      </c>
      <c r="V4" s="440" t="s">
        <v>290</v>
      </c>
      <c r="W4" s="423" t="s">
        <v>279</v>
      </c>
      <c r="X4" s="440" t="s">
        <v>290</v>
      </c>
      <c r="Y4" s="423" t="s">
        <v>279</v>
      </c>
      <c r="Z4" s="1339" t="s">
        <v>290</v>
      </c>
      <c r="AA4" s="1340" t="s">
        <v>279</v>
      </c>
      <c r="AB4" s="440" t="s">
        <v>290</v>
      </c>
      <c r="AC4" s="423" t="s">
        <v>279</v>
      </c>
      <c r="AD4" s="440" t="s">
        <v>290</v>
      </c>
      <c r="AE4" s="423" t="s">
        <v>279</v>
      </c>
      <c r="AF4" s="440" t="s">
        <v>290</v>
      </c>
      <c r="AG4" s="423" t="s">
        <v>279</v>
      </c>
      <c r="AH4" s="440" t="s">
        <v>290</v>
      </c>
      <c r="AI4" s="423" t="s">
        <v>279</v>
      </c>
      <c r="AJ4" s="440" t="s">
        <v>290</v>
      </c>
      <c r="AK4" s="423" t="s">
        <v>279</v>
      </c>
      <c r="AL4" s="440" t="s">
        <v>290</v>
      </c>
      <c r="AM4" s="416" t="s">
        <v>279</v>
      </c>
      <c r="AN4" s="440" t="s">
        <v>290</v>
      </c>
      <c r="AO4" s="416" t="s">
        <v>279</v>
      </c>
      <c r="AP4" s="440" t="s">
        <v>290</v>
      </c>
      <c r="AQ4" s="416" t="s">
        <v>279</v>
      </c>
      <c r="AR4" s="440" t="s">
        <v>290</v>
      </c>
      <c r="AS4" s="416" t="s">
        <v>279</v>
      </c>
      <c r="AT4" s="440" t="s">
        <v>290</v>
      </c>
      <c r="AU4" s="416" t="s">
        <v>279</v>
      </c>
      <c r="AV4" s="440" t="s">
        <v>290</v>
      </c>
      <c r="AW4" s="416" t="s">
        <v>279</v>
      </c>
      <c r="AX4" s="440" t="s">
        <v>290</v>
      </c>
      <c r="AY4" s="423" t="s">
        <v>279</v>
      </c>
      <c r="AZ4" s="440" t="s">
        <v>290</v>
      </c>
      <c r="BA4" s="423" t="s">
        <v>279</v>
      </c>
    </row>
    <row r="5" spans="1:59" s="71" customFormat="1" ht="15" customHeight="1" thickBot="1" x14ac:dyDescent="0.35">
      <c r="A5" s="329" t="s">
        <v>30</v>
      </c>
      <c r="B5" s="137"/>
      <c r="C5" s="139"/>
      <c r="D5" s="137"/>
      <c r="E5" s="139"/>
      <c r="F5" s="143"/>
      <c r="G5" s="146"/>
      <c r="H5" s="145"/>
      <c r="I5" s="146"/>
      <c r="J5" s="145"/>
      <c r="K5" s="141"/>
      <c r="L5" s="143"/>
      <c r="M5" s="146"/>
      <c r="N5" s="145"/>
      <c r="O5" s="141"/>
      <c r="P5" s="140"/>
      <c r="Q5" s="138"/>
      <c r="R5" s="138"/>
      <c r="S5" s="144"/>
      <c r="T5" s="137"/>
      <c r="U5" s="144"/>
      <c r="V5" s="145"/>
      <c r="W5" s="146"/>
      <c r="X5" s="137"/>
      <c r="Y5" s="144"/>
      <c r="Z5" s="175"/>
      <c r="AA5" s="177"/>
      <c r="AB5" s="140"/>
      <c r="AC5" s="144"/>
      <c r="AD5" s="137"/>
      <c r="AE5" s="144"/>
      <c r="AF5" s="137"/>
      <c r="AG5" s="144"/>
      <c r="AH5" s="137"/>
      <c r="AI5" s="144"/>
      <c r="AJ5" s="137"/>
      <c r="AK5" s="144"/>
      <c r="AL5" s="175"/>
      <c r="AM5" s="177"/>
      <c r="AN5" s="931"/>
      <c r="AO5" s="618"/>
      <c r="AP5" s="145"/>
      <c r="AQ5" s="141"/>
      <c r="AR5" s="145"/>
      <c r="AS5" s="141"/>
      <c r="AT5" s="145"/>
      <c r="AU5" s="141"/>
      <c r="AV5" s="145"/>
      <c r="AW5" s="141"/>
      <c r="AX5" s="142"/>
      <c r="AY5" s="143"/>
      <c r="AZ5" s="143"/>
      <c r="BA5" s="147"/>
    </row>
    <row r="6" spans="1:59" s="71" customFormat="1" thickBot="1" x14ac:dyDescent="0.35">
      <c r="A6" s="328" t="s">
        <v>31</v>
      </c>
      <c r="B6" s="102">
        <v>3252595</v>
      </c>
      <c r="C6" s="72">
        <v>2864843</v>
      </c>
      <c r="D6" s="73">
        <v>486045</v>
      </c>
      <c r="E6" s="75">
        <v>449366</v>
      </c>
      <c r="F6" s="78"/>
      <c r="G6" s="87">
        <v>428637</v>
      </c>
      <c r="H6" s="77">
        <v>5017471</v>
      </c>
      <c r="I6" s="87">
        <v>5853408</v>
      </c>
      <c r="J6" s="77">
        <v>702492</v>
      </c>
      <c r="K6" s="79">
        <v>507950</v>
      </c>
      <c r="L6" s="78">
        <v>1213763</v>
      </c>
      <c r="M6" s="87">
        <v>1040607</v>
      </c>
      <c r="N6" s="77">
        <v>1017623</v>
      </c>
      <c r="O6" s="617">
        <v>1774411</v>
      </c>
      <c r="P6" s="103">
        <v>446799</v>
      </c>
      <c r="Q6" s="74">
        <v>351318</v>
      </c>
      <c r="R6" s="74">
        <v>1398764</v>
      </c>
      <c r="S6" s="76">
        <v>1127618</v>
      </c>
      <c r="T6" s="73">
        <v>708082</v>
      </c>
      <c r="U6" s="76">
        <v>799351</v>
      </c>
      <c r="V6" s="103">
        <v>9522859</v>
      </c>
      <c r="W6" s="87">
        <v>10766627</v>
      </c>
      <c r="X6" s="73">
        <v>11303549</v>
      </c>
      <c r="Y6" s="76">
        <v>8104670</v>
      </c>
      <c r="Z6" s="891">
        <v>488978</v>
      </c>
      <c r="AA6" s="81">
        <v>422756</v>
      </c>
      <c r="AB6" s="103">
        <v>1974578</v>
      </c>
      <c r="AC6" s="76">
        <v>1676732</v>
      </c>
      <c r="AD6" s="73">
        <v>4619777</v>
      </c>
      <c r="AE6" s="76">
        <v>3839445</v>
      </c>
      <c r="AF6" s="73">
        <v>5485651</v>
      </c>
      <c r="AG6" s="76">
        <v>4111356</v>
      </c>
      <c r="AH6" s="73">
        <v>2963898</v>
      </c>
      <c r="AI6" s="76">
        <v>2262666</v>
      </c>
      <c r="AJ6" s="73">
        <v>788711</v>
      </c>
      <c r="AK6" s="76">
        <v>880776</v>
      </c>
      <c r="AL6" s="73"/>
      <c r="AM6" s="75"/>
      <c r="AN6" s="178">
        <v>10475235</v>
      </c>
      <c r="AO6" s="179">
        <v>8848667</v>
      </c>
      <c r="AP6" s="382">
        <v>894351</v>
      </c>
      <c r="AQ6" s="619">
        <v>1273435</v>
      </c>
      <c r="AR6" s="92">
        <v>878316</v>
      </c>
      <c r="AS6" s="94">
        <v>782592</v>
      </c>
      <c r="AT6" s="77">
        <v>3056444</v>
      </c>
      <c r="AU6" s="79">
        <v>1721201</v>
      </c>
      <c r="AV6" s="107">
        <f>SUM(B6+D6+F6+H6+J6+L6+N6+P6+R6+T6+V6+X6+Z6+AB6+AD6+AF6+AH6+AJ6+AL6+AN6+AP6+AR6+AT6)</f>
        <v>66695981</v>
      </c>
      <c r="AW6" s="107">
        <f>SUM(C6+E6+G6+I6+K6+M6+O6+Q6+S6+U6+W6+Y6+AA6+AC6+AE6+AG6+AI6+AK6+AM6+AO6+AQ6+AS6+AU6)</f>
        <v>59888432</v>
      </c>
      <c r="AX6" s="279"/>
      <c r="AY6" s="93">
        <v>84706257</v>
      </c>
      <c r="AZ6" s="105">
        <f>AV6+AX6</f>
        <v>66695981</v>
      </c>
      <c r="BA6" s="105">
        <f>AW6+AY6</f>
        <v>144594689</v>
      </c>
    </row>
    <row r="7" spans="1:59" s="71" customFormat="1" thickBot="1" x14ac:dyDescent="0.35">
      <c r="A7" s="328" t="s">
        <v>32</v>
      </c>
      <c r="B7" s="102">
        <v>4735159</v>
      </c>
      <c r="C7" s="72">
        <v>5632335</v>
      </c>
      <c r="D7" s="73">
        <v>90928</v>
      </c>
      <c r="E7" s="75">
        <v>157869</v>
      </c>
      <c r="F7" s="78"/>
      <c r="G7" s="87">
        <v>680334</v>
      </c>
      <c r="H7" s="77">
        <v>4401809</v>
      </c>
      <c r="I7" s="87">
        <v>4242263</v>
      </c>
      <c r="J7" s="77">
        <v>216445</v>
      </c>
      <c r="K7" s="79">
        <v>171910</v>
      </c>
      <c r="L7" s="78">
        <v>224847</v>
      </c>
      <c r="M7" s="87">
        <v>73894</v>
      </c>
      <c r="N7" s="77">
        <v>11300</v>
      </c>
      <c r="O7" s="617">
        <v>18481</v>
      </c>
      <c r="P7" s="103"/>
      <c r="Q7" s="74"/>
      <c r="R7" s="74">
        <v>2910712</v>
      </c>
      <c r="S7" s="76">
        <v>2258834</v>
      </c>
      <c r="T7" s="73">
        <v>288660</v>
      </c>
      <c r="U7" s="76">
        <v>190520</v>
      </c>
      <c r="V7" s="103">
        <v>18892936</v>
      </c>
      <c r="W7" s="87">
        <v>17714482</v>
      </c>
      <c r="X7" s="73">
        <v>11503510</v>
      </c>
      <c r="Y7" s="76">
        <v>8411641</v>
      </c>
      <c r="Z7" s="891">
        <v>1329823</v>
      </c>
      <c r="AA7" s="81">
        <v>623075</v>
      </c>
      <c r="AB7" s="103">
        <v>489985</v>
      </c>
      <c r="AC7" s="76">
        <v>79720</v>
      </c>
      <c r="AD7" s="73">
        <v>6981688</v>
      </c>
      <c r="AE7" s="76">
        <v>4538017</v>
      </c>
      <c r="AF7" s="73">
        <v>4000146</v>
      </c>
      <c r="AG7" s="76">
        <v>6115385</v>
      </c>
      <c r="AH7" s="73">
        <v>849345</v>
      </c>
      <c r="AI7" s="76">
        <v>810628</v>
      </c>
      <c r="AJ7" s="73">
        <v>3003701</v>
      </c>
      <c r="AK7" s="76">
        <v>2427689</v>
      </c>
      <c r="AL7" s="73"/>
      <c r="AM7" s="75"/>
      <c r="AN7" s="180">
        <v>30389226</v>
      </c>
      <c r="AO7" s="179">
        <v>8380069</v>
      </c>
      <c r="AP7" s="382">
        <v>440296</v>
      </c>
      <c r="AQ7" s="619">
        <v>419633</v>
      </c>
      <c r="AR7" s="92">
        <v>806488</v>
      </c>
      <c r="AS7" s="94">
        <v>545321</v>
      </c>
      <c r="AT7" s="77">
        <v>2768083</v>
      </c>
      <c r="AU7" s="79">
        <v>2843841</v>
      </c>
      <c r="AV7" s="107">
        <f t="shared" ref="AV7:AV38" si="0">SUM(B7+D7+F7+H7+J7+L7+N7+P7+R7+T7+V7+X7+Z7+AB7+AD7+AF7+AH7+AJ7+AL7+AN7+AP7+AR7+AT7)</f>
        <v>94335087</v>
      </c>
      <c r="AW7" s="107">
        <f t="shared" ref="AW7:AW38" si="1">SUM(C7+E7+G7+I7+K7+M7+O7+Q7+S7+U7+W7+Y7+AA7+AC7+AE7+AG7+AI7+AK7+AM7+AO7+AQ7+AS7+AU7)</f>
        <v>66335941</v>
      </c>
      <c r="AX7" s="279"/>
      <c r="AY7" s="93">
        <v>579549685</v>
      </c>
      <c r="AZ7" s="105">
        <f t="shared" ref="AZ7:AZ38" si="2">AV7+AX7</f>
        <v>94335087</v>
      </c>
      <c r="BA7" s="105">
        <f>AW7+AY7</f>
        <v>645885626</v>
      </c>
    </row>
    <row r="8" spans="1:59" s="71" customFormat="1" thickBot="1" x14ac:dyDescent="0.35">
      <c r="A8" s="328" t="s">
        <v>33</v>
      </c>
      <c r="B8" s="102">
        <v>70831</v>
      </c>
      <c r="C8" s="72">
        <v>51641</v>
      </c>
      <c r="D8" s="73">
        <v>87</v>
      </c>
      <c r="E8" s="75">
        <v>87</v>
      </c>
      <c r="F8" s="78"/>
      <c r="G8" s="87">
        <v>632399</v>
      </c>
      <c r="H8" s="77">
        <v>108546</v>
      </c>
      <c r="I8" s="87">
        <v>108146</v>
      </c>
      <c r="J8" s="77"/>
      <c r="K8" s="79"/>
      <c r="L8" s="78">
        <v>67962</v>
      </c>
      <c r="M8" s="87">
        <v>27994</v>
      </c>
      <c r="N8" s="77"/>
      <c r="O8" s="617"/>
      <c r="P8" s="103">
        <v>9137</v>
      </c>
      <c r="Q8" s="74">
        <v>7961</v>
      </c>
      <c r="R8" s="74">
        <v>36970</v>
      </c>
      <c r="S8" s="76">
        <v>18758</v>
      </c>
      <c r="T8" s="73">
        <v>2363</v>
      </c>
      <c r="U8" s="76">
        <v>2953</v>
      </c>
      <c r="V8" s="77">
        <v>1852010</v>
      </c>
      <c r="W8" s="87">
        <v>1214576</v>
      </c>
      <c r="X8" s="73">
        <v>1374416</v>
      </c>
      <c r="Y8" s="76">
        <v>1042140</v>
      </c>
      <c r="Z8" s="891">
        <v>2679</v>
      </c>
      <c r="AA8" s="81"/>
      <c r="AB8" s="103">
        <v>738</v>
      </c>
      <c r="AC8" s="76">
        <v>513</v>
      </c>
      <c r="AD8" s="73">
        <v>117719</v>
      </c>
      <c r="AE8" s="76">
        <v>45003</v>
      </c>
      <c r="AF8" s="73">
        <v>68579</v>
      </c>
      <c r="AG8" s="76">
        <v>40529</v>
      </c>
      <c r="AH8" s="73">
        <v>96323</v>
      </c>
      <c r="AI8" s="76">
        <v>82181</v>
      </c>
      <c r="AJ8" s="73">
        <v>27699</v>
      </c>
      <c r="AK8" s="76">
        <v>17550</v>
      </c>
      <c r="AL8" s="73"/>
      <c r="AM8" s="75"/>
      <c r="AN8" s="180">
        <v>1543028</v>
      </c>
      <c r="AO8" s="179">
        <v>1006030</v>
      </c>
      <c r="AP8" s="382">
        <v>2581</v>
      </c>
      <c r="AQ8" s="619">
        <v>1695</v>
      </c>
      <c r="AR8" s="92">
        <v>78006</v>
      </c>
      <c r="AS8" s="94">
        <v>59047</v>
      </c>
      <c r="AT8" s="77">
        <v>60542</v>
      </c>
      <c r="AU8" s="79">
        <v>24240</v>
      </c>
      <c r="AV8" s="107">
        <f t="shared" si="0"/>
        <v>5520216</v>
      </c>
      <c r="AW8" s="107">
        <f t="shared" si="1"/>
        <v>4383443</v>
      </c>
      <c r="AX8" s="279"/>
      <c r="AY8" s="93">
        <v>59884309</v>
      </c>
      <c r="AZ8" s="105">
        <f t="shared" si="2"/>
        <v>5520216</v>
      </c>
      <c r="BA8" s="105">
        <f>AW8+AY8</f>
        <v>64267752</v>
      </c>
    </row>
    <row r="9" spans="1:59" s="71" customFormat="1" thickBot="1" x14ac:dyDescent="0.35">
      <c r="A9" s="328" t="s">
        <v>34</v>
      </c>
      <c r="B9" s="102"/>
      <c r="C9" s="72"/>
      <c r="D9" s="73"/>
      <c r="E9" s="75"/>
      <c r="F9" s="78"/>
      <c r="G9" s="87"/>
      <c r="H9" s="77"/>
      <c r="I9" s="87"/>
      <c r="J9" s="77"/>
      <c r="K9" s="79"/>
      <c r="L9" s="78"/>
      <c r="M9" s="87"/>
      <c r="N9" s="77"/>
      <c r="O9" s="617"/>
      <c r="P9" s="103"/>
      <c r="Q9" s="74"/>
      <c r="R9" s="74">
        <v>2703107</v>
      </c>
      <c r="S9" s="76">
        <v>3056768</v>
      </c>
      <c r="T9" s="73"/>
      <c r="U9" s="76"/>
      <c r="V9" s="90"/>
      <c r="W9" s="87"/>
      <c r="X9" s="73"/>
      <c r="Y9" s="76"/>
      <c r="Z9" s="891"/>
      <c r="AA9" s="81"/>
      <c r="AB9" s="103"/>
      <c r="AC9" s="76"/>
      <c r="AD9" s="73"/>
      <c r="AE9" s="76"/>
      <c r="AF9" s="73"/>
      <c r="AG9" s="76"/>
      <c r="AH9" s="73"/>
      <c r="AI9" s="76"/>
      <c r="AJ9" s="73"/>
      <c r="AK9" s="76"/>
      <c r="AL9" s="73"/>
      <c r="AM9" s="75"/>
      <c r="AN9" s="77"/>
      <c r="AO9" s="179"/>
      <c r="AP9" s="382"/>
      <c r="AQ9" s="619"/>
      <c r="AR9" s="92">
        <v>23435</v>
      </c>
      <c r="AS9" s="94">
        <v>24527</v>
      </c>
      <c r="AT9" s="77"/>
      <c r="AU9" s="79"/>
      <c r="AV9" s="107">
        <f t="shared" si="0"/>
        <v>2726542</v>
      </c>
      <c r="AW9" s="107">
        <f t="shared" si="1"/>
        <v>3081295</v>
      </c>
      <c r="AX9" s="279"/>
      <c r="AY9" s="93"/>
      <c r="AZ9" s="105">
        <f t="shared" si="2"/>
        <v>2726542</v>
      </c>
      <c r="BA9" s="105"/>
    </row>
    <row r="10" spans="1:59" s="71" customFormat="1" thickBot="1" x14ac:dyDescent="0.35">
      <c r="A10" s="328" t="s">
        <v>35</v>
      </c>
      <c r="B10" s="110">
        <v>319885</v>
      </c>
      <c r="C10" s="72">
        <v>325607</v>
      </c>
      <c r="D10" s="82">
        <v>38854</v>
      </c>
      <c r="E10" s="75">
        <v>201159</v>
      </c>
      <c r="F10" s="98"/>
      <c r="G10" s="87">
        <v>134238</v>
      </c>
      <c r="H10" s="95">
        <v>1429884</v>
      </c>
      <c r="I10" s="87">
        <v>1203322</v>
      </c>
      <c r="J10" s="95">
        <v>407798</v>
      </c>
      <c r="K10" s="79">
        <v>130968</v>
      </c>
      <c r="L10" s="98">
        <v>84198</v>
      </c>
      <c r="M10" s="87">
        <v>94469</v>
      </c>
      <c r="N10" s="95">
        <v>19130</v>
      </c>
      <c r="O10" s="617">
        <v>14883</v>
      </c>
      <c r="P10" s="111">
        <v>32108</v>
      </c>
      <c r="Q10" s="74">
        <v>23005</v>
      </c>
      <c r="R10" s="85"/>
      <c r="S10" s="76"/>
      <c r="T10" s="82">
        <v>89044</v>
      </c>
      <c r="U10" s="76">
        <v>65623</v>
      </c>
      <c r="V10" s="95">
        <v>244669</v>
      </c>
      <c r="W10" s="87">
        <v>53437</v>
      </c>
      <c r="X10" s="82">
        <v>1364073</v>
      </c>
      <c r="Y10" s="76">
        <v>1271227</v>
      </c>
      <c r="Z10" s="891">
        <v>1049250</v>
      </c>
      <c r="AA10" s="81">
        <v>638834</v>
      </c>
      <c r="AB10" s="111">
        <v>341362</v>
      </c>
      <c r="AC10" s="76">
        <v>131426</v>
      </c>
      <c r="AD10" s="112">
        <v>823639</v>
      </c>
      <c r="AE10" s="76">
        <v>273708</v>
      </c>
      <c r="AF10" s="82">
        <v>667115</v>
      </c>
      <c r="AG10" s="76">
        <v>603887</v>
      </c>
      <c r="AH10" s="82">
        <v>1441813</v>
      </c>
      <c r="AI10" s="76">
        <v>1196646</v>
      </c>
      <c r="AJ10" s="82">
        <v>2593638</v>
      </c>
      <c r="AK10" s="76">
        <v>2454013</v>
      </c>
      <c r="AL10" s="73"/>
      <c r="AM10" s="75"/>
      <c r="AN10" s="180">
        <v>6558222</v>
      </c>
      <c r="AO10" s="179">
        <v>3055019</v>
      </c>
      <c r="AP10" s="382">
        <v>166125</v>
      </c>
      <c r="AQ10" s="619">
        <v>193280</v>
      </c>
      <c r="AR10" s="92">
        <v>256103</v>
      </c>
      <c r="AS10" s="94">
        <v>249407</v>
      </c>
      <c r="AT10" s="95">
        <f>1197314+1552441</f>
        <v>2749755</v>
      </c>
      <c r="AU10" s="79">
        <f>1309045+1201974</f>
        <v>2511019</v>
      </c>
      <c r="AV10" s="107">
        <f t="shared" si="0"/>
        <v>20676665</v>
      </c>
      <c r="AW10" s="107">
        <f t="shared" si="1"/>
        <v>14825177</v>
      </c>
      <c r="AX10" s="105"/>
      <c r="AY10" s="93"/>
      <c r="AZ10" s="105">
        <f t="shared" si="2"/>
        <v>20676665</v>
      </c>
      <c r="BA10" s="105">
        <f t="shared" ref="BA10:BA22" si="3">AW10+AY10</f>
        <v>14825177</v>
      </c>
    </row>
    <row r="11" spans="1:59" s="71" customFormat="1" thickBot="1" x14ac:dyDescent="0.35">
      <c r="A11" s="328" t="s">
        <v>36</v>
      </c>
      <c r="B11" s="102">
        <v>10040923</v>
      </c>
      <c r="C11" s="72">
        <v>19827447</v>
      </c>
      <c r="D11" s="73">
        <v>603139</v>
      </c>
      <c r="E11" s="75">
        <v>657601</v>
      </c>
      <c r="F11" s="78"/>
      <c r="G11" s="87">
        <v>3075130</v>
      </c>
      <c r="H11" s="627">
        <v>9606837</v>
      </c>
      <c r="I11" s="87">
        <v>15617632</v>
      </c>
      <c r="J11" s="77">
        <v>730287</v>
      </c>
      <c r="K11" s="79">
        <v>1026543</v>
      </c>
      <c r="L11" s="78">
        <v>5470661</v>
      </c>
      <c r="M11" s="87">
        <v>4203043</v>
      </c>
      <c r="N11" s="77">
        <v>583441</v>
      </c>
      <c r="O11" s="617">
        <v>714795</v>
      </c>
      <c r="P11" s="103">
        <v>194198</v>
      </c>
      <c r="Q11" s="74">
        <v>91250</v>
      </c>
      <c r="R11" s="74"/>
      <c r="S11" s="76"/>
      <c r="T11" s="73">
        <v>504857</v>
      </c>
      <c r="U11" s="76">
        <v>765469</v>
      </c>
      <c r="V11" s="77">
        <v>19855257</v>
      </c>
      <c r="W11" s="87">
        <v>28562451</v>
      </c>
      <c r="X11" s="73">
        <v>52986897</v>
      </c>
      <c r="Y11" s="76">
        <v>60806106</v>
      </c>
      <c r="Z11" s="891">
        <v>987328</v>
      </c>
      <c r="AA11" s="75">
        <v>805025</v>
      </c>
      <c r="AB11" s="103">
        <v>21366633</v>
      </c>
      <c r="AC11" s="76">
        <v>15370288</v>
      </c>
      <c r="AD11" s="73">
        <v>3696080</v>
      </c>
      <c r="AE11" s="76">
        <v>4995612</v>
      </c>
      <c r="AF11" s="73">
        <v>12748492</v>
      </c>
      <c r="AG11" s="76">
        <v>17343043</v>
      </c>
      <c r="AH11" s="73">
        <v>5976079</v>
      </c>
      <c r="AI11" s="76">
        <v>6527902</v>
      </c>
      <c r="AJ11" s="73">
        <v>3682105</v>
      </c>
      <c r="AK11" s="76">
        <v>7327820</v>
      </c>
      <c r="AL11" s="73"/>
      <c r="AM11" s="75"/>
      <c r="AN11" s="180">
        <v>14482625</v>
      </c>
      <c r="AO11" s="179">
        <v>17176710</v>
      </c>
      <c r="AP11" s="382">
        <v>304069</v>
      </c>
      <c r="AQ11" s="619">
        <v>552702</v>
      </c>
      <c r="AR11" s="92">
        <v>1687968</v>
      </c>
      <c r="AS11" s="94">
        <v>2494548</v>
      </c>
      <c r="AT11" s="77">
        <v>2816257</v>
      </c>
      <c r="AU11" s="79">
        <v>3881598</v>
      </c>
      <c r="AV11" s="107">
        <f t="shared" si="0"/>
        <v>168324133</v>
      </c>
      <c r="AW11" s="107">
        <f t="shared" si="1"/>
        <v>211822715</v>
      </c>
      <c r="AX11" s="279"/>
      <c r="AY11" s="93">
        <v>304922304</v>
      </c>
      <c r="AZ11" s="105">
        <f t="shared" si="2"/>
        <v>168324133</v>
      </c>
      <c r="BA11" s="105">
        <f t="shared" si="3"/>
        <v>516745019</v>
      </c>
      <c r="BF11" s="133"/>
      <c r="BG11" s="133"/>
    </row>
    <row r="12" spans="1:59" s="71" customFormat="1" thickBot="1" x14ac:dyDescent="0.35">
      <c r="A12" s="328" t="s">
        <v>37</v>
      </c>
      <c r="B12" s="102"/>
      <c r="C12" s="72"/>
      <c r="D12" s="73"/>
      <c r="E12" s="75"/>
      <c r="F12" s="78"/>
      <c r="G12" s="87"/>
      <c r="H12" s="627"/>
      <c r="I12" s="87"/>
      <c r="J12" s="77"/>
      <c r="K12" s="79"/>
      <c r="L12" s="78"/>
      <c r="M12" s="87"/>
      <c r="N12" s="77"/>
      <c r="O12" s="617"/>
      <c r="P12" s="103"/>
      <c r="Q12" s="74"/>
      <c r="R12" s="74"/>
      <c r="S12" s="76"/>
      <c r="T12" s="73"/>
      <c r="U12" s="76"/>
      <c r="V12" s="77">
        <v>15525844</v>
      </c>
      <c r="W12" s="87">
        <v>8120178</v>
      </c>
      <c r="X12" s="73"/>
      <c r="Y12" s="76"/>
      <c r="Z12" s="891"/>
      <c r="AA12" s="75"/>
      <c r="AB12" s="103"/>
      <c r="AC12" s="76"/>
      <c r="AD12" s="73">
        <v>434156</v>
      </c>
      <c r="AE12" s="76">
        <v>251818</v>
      </c>
      <c r="AF12" s="73"/>
      <c r="AG12" s="76"/>
      <c r="AH12" s="73"/>
      <c r="AI12" s="76"/>
      <c r="AJ12" s="73"/>
      <c r="AK12" s="76"/>
      <c r="AL12" s="73"/>
      <c r="AM12" s="75"/>
      <c r="AN12" s="180">
        <v>7763128</v>
      </c>
      <c r="AO12" s="179">
        <v>4761862</v>
      </c>
      <c r="AP12" s="382"/>
      <c r="AQ12" s="619"/>
      <c r="AR12" s="92"/>
      <c r="AS12" s="94"/>
      <c r="AT12" s="77"/>
      <c r="AU12" s="79"/>
      <c r="AV12" s="107">
        <f t="shared" si="0"/>
        <v>23723128</v>
      </c>
      <c r="AW12" s="107">
        <f t="shared" si="1"/>
        <v>13133858</v>
      </c>
      <c r="AX12" s="279"/>
      <c r="AY12" s="93"/>
      <c r="AZ12" s="105">
        <f t="shared" si="2"/>
        <v>23723128</v>
      </c>
      <c r="BA12" s="105">
        <f t="shared" si="3"/>
        <v>13133858</v>
      </c>
    </row>
    <row r="13" spans="1:59" s="71" customFormat="1" thickBot="1" x14ac:dyDescent="0.35">
      <c r="A13" s="328" t="s">
        <v>38</v>
      </c>
      <c r="B13" s="102"/>
      <c r="C13" s="72"/>
      <c r="D13" s="73">
        <v>13776</v>
      </c>
      <c r="E13" s="75">
        <v>22597</v>
      </c>
      <c r="F13" s="78"/>
      <c r="G13" s="87"/>
      <c r="H13" s="627"/>
      <c r="I13" s="87"/>
      <c r="J13" s="77"/>
      <c r="K13" s="79"/>
      <c r="L13" s="78">
        <v>820639</v>
      </c>
      <c r="M13" s="87">
        <v>3500000</v>
      </c>
      <c r="N13" s="77"/>
      <c r="O13" s="617"/>
      <c r="P13" s="103">
        <v>148089</v>
      </c>
      <c r="Q13" s="74">
        <v>52257</v>
      </c>
      <c r="R13" s="74"/>
      <c r="S13" s="76"/>
      <c r="T13" s="73">
        <v>27589</v>
      </c>
      <c r="U13" s="76">
        <v>61937</v>
      </c>
      <c r="V13" s="77">
        <v>8354727</v>
      </c>
      <c r="W13" s="87">
        <v>8686998</v>
      </c>
      <c r="X13" s="73"/>
      <c r="Y13" s="76"/>
      <c r="Z13" s="891"/>
      <c r="AA13" s="75"/>
      <c r="AB13" s="103"/>
      <c r="AC13" s="76"/>
      <c r="AD13" s="73"/>
      <c r="AE13" s="76"/>
      <c r="AF13" s="73"/>
      <c r="AG13" s="76"/>
      <c r="AH13" s="73"/>
      <c r="AI13" s="76"/>
      <c r="AJ13" s="73"/>
      <c r="AK13" s="76"/>
      <c r="AL13" s="73"/>
      <c r="AM13" s="75"/>
      <c r="AN13" s="180">
        <v>22488461</v>
      </c>
      <c r="AO13" s="179">
        <v>18501157</v>
      </c>
      <c r="AP13" s="382">
        <v>361</v>
      </c>
      <c r="AQ13" s="619">
        <v>4131</v>
      </c>
      <c r="AR13" s="92"/>
      <c r="AS13" s="94"/>
      <c r="AT13" s="77"/>
      <c r="AU13" s="79"/>
      <c r="AV13" s="107">
        <f t="shared" si="0"/>
        <v>31853642</v>
      </c>
      <c r="AW13" s="107">
        <f t="shared" si="1"/>
        <v>30829077</v>
      </c>
      <c r="AX13" s="279"/>
      <c r="AY13" s="93"/>
      <c r="AZ13" s="105">
        <f t="shared" si="2"/>
        <v>31853642</v>
      </c>
      <c r="BA13" s="105">
        <f t="shared" si="3"/>
        <v>30829077</v>
      </c>
    </row>
    <row r="14" spans="1:59" s="71" customFormat="1" thickBot="1" x14ac:dyDescent="0.35">
      <c r="A14" s="328" t="s">
        <v>39</v>
      </c>
      <c r="B14" s="110">
        <v>30247</v>
      </c>
      <c r="C14" s="72">
        <v>49136</v>
      </c>
      <c r="D14" s="82">
        <v>9133</v>
      </c>
      <c r="E14" s="75">
        <v>34278</v>
      </c>
      <c r="F14" s="98"/>
      <c r="G14" s="87">
        <v>2782</v>
      </c>
      <c r="H14" s="627">
        <v>95732</v>
      </c>
      <c r="I14" s="87">
        <v>97234</v>
      </c>
      <c r="J14" s="95">
        <v>13186</v>
      </c>
      <c r="K14" s="79">
        <v>11090</v>
      </c>
      <c r="L14" s="98"/>
      <c r="M14" s="87"/>
      <c r="N14" s="95"/>
      <c r="O14" s="617"/>
      <c r="P14" s="111"/>
      <c r="Q14" s="74"/>
      <c r="R14" s="85"/>
      <c r="S14" s="76"/>
      <c r="T14" s="82"/>
      <c r="U14" s="76">
        <v>400</v>
      </c>
      <c r="V14" s="95"/>
      <c r="W14" s="87"/>
      <c r="X14" s="82">
        <v>20855</v>
      </c>
      <c r="Y14" s="76">
        <v>28298</v>
      </c>
      <c r="Z14" s="891">
        <f>5235</f>
        <v>5235</v>
      </c>
      <c r="AA14" s="81">
        <v>22758</v>
      </c>
      <c r="AB14" s="111"/>
      <c r="AC14" s="76"/>
      <c r="AD14" s="112">
        <v>5422</v>
      </c>
      <c r="AE14" s="76">
        <v>5803</v>
      </c>
      <c r="AF14" s="82"/>
      <c r="AG14" s="76"/>
      <c r="AH14" s="82"/>
      <c r="AI14" s="76"/>
      <c r="AJ14" s="82">
        <v>1888</v>
      </c>
      <c r="AK14" s="76">
        <v>1055</v>
      </c>
      <c r="AL14" s="73"/>
      <c r="AM14" s="75"/>
      <c r="AN14" s="180">
        <v>51010</v>
      </c>
      <c r="AO14" s="179">
        <v>13160</v>
      </c>
      <c r="AP14" s="382">
        <v>14193</v>
      </c>
      <c r="AQ14" s="619">
        <v>31367</v>
      </c>
      <c r="AR14" s="92">
        <v>100</v>
      </c>
      <c r="AS14" s="94">
        <v>-250</v>
      </c>
      <c r="AT14" s="95"/>
      <c r="AU14" s="79"/>
      <c r="AV14" s="107">
        <f t="shared" si="0"/>
        <v>247001</v>
      </c>
      <c r="AW14" s="107">
        <f t="shared" si="1"/>
        <v>297111</v>
      </c>
      <c r="AX14" s="105"/>
      <c r="AY14" s="93"/>
      <c r="AZ14" s="105">
        <f t="shared" si="2"/>
        <v>247001</v>
      </c>
      <c r="BA14" s="105">
        <f t="shared" si="3"/>
        <v>297111</v>
      </c>
    </row>
    <row r="15" spans="1:59" s="71" customFormat="1" thickBot="1" x14ac:dyDescent="0.35">
      <c r="A15" s="328" t="s">
        <v>40</v>
      </c>
      <c r="B15" s="102">
        <v>-625</v>
      </c>
      <c r="C15" s="72">
        <v>2132</v>
      </c>
      <c r="D15" s="73">
        <v>830</v>
      </c>
      <c r="E15" s="75">
        <v>3825</v>
      </c>
      <c r="F15" s="78"/>
      <c r="G15" s="87">
        <v>7550</v>
      </c>
      <c r="H15" s="77">
        <v>19012</v>
      </c>
      <c r="I15" s="87">
        <v>45984</v>
      </c>
      <c r="J15" s="77">
        <v>5986</v>
      </c>
      <c r="K15" s="79">
        <v>5253</v>
      </c>
      <c r="L15" s="78">
        <v>900</v>
      </c>
      <c r="M15" s="87"/>
      <c r="N15" s="77">
        <v>1402</v>
      </c>
      <c r="O15" s="617">
        <v>1331</v>
      </c>
      <c r="P15" s="103">
        <v>5000</v>
      </c>
      <c r="Q15" s="74">
        <v>8500</v>
      </c>
      <c r="R15" s="74"/>
      <c r="S15" s="76"/>
      <c r="T15" s="73">
        <v>5474</v>
      </c>
      <c r="U15" s="76">
        <v>7250</v>
      </c>
      <c r="V15" s="77">
        <v>124184</v>
      </c>
      <c r="W15" s="87">
        <v>188957</v>
      </c>
      <c r="X15" s="73">
        <v>344849</v>
      </c>
      <c r="Y15" s="76">
        <v>554599</v>
      </c>
      <c r="Z15" s="891"/>
      <c r="AA15" s="81"/>
      <c r="AB15" s="103">
        <v>7768</v>
      </c>
      <c r="AC15" s="76">
        <v>8258</v>
      </c>
      <c r="AD15" s="73"/>
      <c r="AE15" s="76"/>
      <c r="AF15" s="73">
        <v>45591</v>
      </c>
      <c r="AG15" s="76">
        <v>43494</v>
      </c>
      <c r="AH15" s="73">
        <v>24962</v>
      </c>
      <c r="AI15" s="76">
        <v>35380</v>
      </c>
      <c r="AJ15" s="73">
        <v>7010</v>
      </c>
      <c r="AK15" s="76">
        <v>10054</v>
      </c>
      <c r="AL15" s="73"/>
      <c r="AM15" s="75"/>
      <c r="AN15" s="180">
        <v>12061</v>
      </c>
      <c r="AO15" s="179">
        <v>10720</v>
      </c>
      <c r="AP15" s="382"/>
      <c r="AQ15" s="619"/>
      <c r="AR15" s="92"/>
      <c r="AS15" s="94"/>
      <c r="AT15" s="77">
        <v>4209</v>
      </c>
      <c r="AU15" s="79">
        <v>1783</v>
      </c>
      <c r="AV15" s="107">
        <f t="shared" si="0"/>
        <v>608613</v>
      </c>
      <c r="AW15" s="107">
        <f t="shared" si="1"/>
        <v>935070</v>
      </c>
      <c r="AX15" s="104"/>
      <c r="AY15" s="93">
        <f>48922+91614+58683+11599</f>
        <v>210818</v>
      </c>
      <c r="AZ15" s="105">
        <f t="shared" si="2"/>
        <v>608613</v>
      </c>
      <c r="BA15" s="105">
        <f t="shared" si="3"/>
        <v>1145888</v>
      </c>
    </row>
    <row r="16" spans="1:59" s="71" customFormat="1" thickBot="1" x14ac:dyDescent="0.35">
      <c r="A16" s="328" t="s">
        <v>41</v>
      </c>
      <c r="B16" s="102"/>
      <c r="C16" s="72"/>
      <c r="D16" s="73"/>
      <c r="E16" s="75"/>
      <c r="F16" s="78"/>
      <c r="G16" s="87"/>
      <c r="H16" s="77"/>
      <c r="I16" s="87"/>
      <c r="J16" s="77"/>
      <c r="K16" s="79"/>
      <c r="L16" s="78"/>
      <c r="M16" s="87"/>
      <c r="N16" s="77"/>
      <c r="O16" s="617"/>
      <c r="P16" s="103"/>
      <c r="Q16" s="74"/>
      <c r="R16" s="74"/>
      <c r="S16" s="76"/>
      <c r="T16" s="73"/>
      <c r="U16" s="76"/>
      <c r="V16" s="77"/>
      <c r="W16" s="87"/>
      <c r="X16" s="73"/>
      <c r="Y16" s="76"/>
      <c r="Z16" s="891"/>
      <c r="AA16" s="81"/>
      <c r="AB16" s="103"/>
      <c r="AC16" s="76"/>
      <c r="AD16" s="73"/>
      <c r="AE16" s="76"/>
      <c r="AF16" s="73"/>
      <c r="AG16" s="76"/>
      <c r="AH16" s="73"/>
      <c r="AI16" s="76"/>
      <c r="AJ16" s="73"/>
      <c r="AK16" s="76"/>
      <c r="AL16" s="73"/>
      <c r="AM16" s="75"/>
      <c r="AN16" s="180"/>
      <c r="AO16" s="179"/>
      <c r="AP16" s="382"/>
      <c r="AQ16" s="619"/>
      <c r="AR16" s="92"/>
      <c r="AS16" s="94"/>
      <c r="AT16" s="77"/>
      <c r="AU16" s="79"/>
      <c r="AV16" s="107">
        <f t="shared" si="0"/>
        <v>0</v>
      </c>
      <c r="AW16" s="107">
        <f t="shared" si="1"/>
        <v>0</v>
      </c>
      <c r="AX16" s="104"/>
      <c r="AY16" s="93">
        <v>19182</v>
      </c>
      <c r="AZ16" s="105">
        <f t="shared" si="2"/>
        <v>0</v>
      </c>
      <c r="BA16" s="105">
        <f t="shared" si="3"/>
        <v>19182</v>
      </c>
    </row>
    <row r="17" spans="1:53" s="71" customFormat="1" thickBot="1" x14ac:dyDescent="0.35">
      <c r="A17" s="328" t="s">
        <v>42</v>
      </c>
      <c r="B17" s="102"/>
      <c r="C17" s="72"/>
      <c r="D17" s="73"/>
      <c r="E17" s="75"/>
      <c r="F17" s="78"/>
      <c r="G17" s="87"/>
      <c r="H17" s="77"/>
      <c r="I17" s="87"/>
      <c r="J17" s="77"/>
      <c r="K17" s="79"/>
      <c r="L17" s="78"/>
      <c r="M17" s="87"/>
      <c r="N17" s="77"/>
      <c r="O17" s="617"/>
      <c r="P17" s="103"/>
      <c r="Q17" s="74"/>
      <c r="R17" s="74"/>
      <c r="S17" s="76"/>
      <c r="T17" s="73"/>
      <c r="U17" s="76"/>
      <c r="V17" s="77"/>
      <c r="W17" s="87"/>
      <c r="X17" s="73"/>
      <c r="Y17" s="76"/>
      <c r="Z17" s="891"/>
      <c r="AA17" s="81"/>
      <c r="AB17" s="103"/>
      <c r="AC17" s="76"/>
      <c r="AD17" s="73"/>
      <c r="AE17" s="76"/>
      <c r="AF17" s="73">
        <v>4787083</v>
      </c>
      <c r="AG17" s="76">
        <v>4676315</v>
      </c>
      <c r="AH17" s="73"/>
      <c r="AI17" s="76"/>
      <c r="AJ17" s="73"/>
      <c r="AK17" s="76"/>
      <c r="AL17" s="73"/>
      <c r="AM17" s="75"/>
      <c r="AN17" s="180"/>
      <c r="AO17" s="179"/>
      <c r="AP17" s="382">
        <v>1476</v>
      </c>
      <c r="AQ17" s="619">
        <v>2071</v>
      </c>
      <c r="AR17" s="92"/>
      <c r="AS17" s="94"/>
      <c r="AT17" s="77"/>
      <c r="AU17" s="79"/>
      <c r="AV17" s="107">
        <f t="shared" si="0"/>
        <v>4788559</v>
      </c>
      <c r="AW17" s="107">
        <f t="shared" si="1"/>
        <v>4678386</v>
      </c>
      <c r="AX17" s="104"/>
      <c r="AY17" s="93"/>
      <c r="AZ17" s="105">
        <f t="shared" si="2"/>
        <v>4788559</v>
      </c>
      <c r="BA17" s="105">
        <f t="shared" si="3"/>
        <v>4678386</v>
      </c>
    </row>
    <row r="18" spans="1:53" s="71" customFormat="1" thickBot="1" x14ac:dyDescent="0.35">
      <c r="A18" s="328" t="s">
        <v>43</v>
      </c>
      <c r="B18" s="102"/>
      <c r="C18" s="72"/>
      <c r="D18" s="73"/>
      <c r="E18" s="75"/>
      <c r="F18" s="78"/>
      <c r="G18" s="87"/>
      <c r="H18" s="77"/>
      <c r="I18" s="87"/>
      <c r="J18" s="77"/>
      <c r="K18" s="79"/>
      <c r="L18" s="78"/>
      <c r="M18" s="87"/>
      <c r="N18" s="77"/>
      <c r="O18" s="617"/>
      <c r="P18" s="103"/>
      <c r="Q18" s="74"/>
      <c r="R18" s="74"/>
      <c r="S18" s="76"/>
      <c r="T18" s="73"/>
      <c r="U18" s="76"/>
      <c r="V18" s="77">
        <v>567508</v>
      </c>
      <c r="W18" s="87">
        <v>1232855</v>
      </c>
      <c r="X18" s="73"/>
      <c r="Y18" s="76"/>
      <c r="Z18" s="891"/>
      <c r="AA18" s="81"/>
      <c r="AB18" s="103"/>
      <c r="AC18" s="76"/>
      <c r="AD18" s="73"/>
      <c r="AE18" s="76"/>
      <c r="AF18" s="73"/>
      <c r="AG18" s="76"/>
      <c r="AH18" s="73"/>
      <c r="AI18" s="76"/>
      <c r="AJ18" s="73"/>
      <c r="AK18" s="76"/>
      <c r="AL18" s="73"/>
      <c r="AM18" s="75"/>
      <c r="AN18" s="180"/>
      <c r="AO18" s="179"/>
      <c r="AP18" s="382"/>
      <c r="AQ18" s="619"/>
      <c r="AR18" s="92">
        <v>1692294</v>
      </c>
      <c r="AS18" s="94">
        <v>70350</v>
      </c>
      <c r="AT18" s="77">
        <v>424654</v>
      </c>
      <c r="AU18" s="79">
        <v>448901</v>
      </c>
      <c r="AV18" s="107">
        <f t="shared" si="0"/>
        <v>2684456</v>
      </c>
      <c r="AW18" s="107">
        <f t="shared" si="1"/>
        <v>1752106</v>
      </c>
      <c r="AX18" s="104"/>
      <c r="AY18" s="93"/>
      <c r="AZ18" s="105">
        <f t="shared" si="2"/>
        <v>2684456</v>
      </c>
      <c r="BA18" s="105">
        <f t="shared" si="3"/>
        <v>1752106</v>
      </c>
    </row>
    <row r="19" spans="1:53" s="71" customFormat="1" thickBot="1" x14ac:dyDescent="0.35">
      <c r="A19" s="328" t="s">
        <v>44</v>
      </c>
      <c r="B19" s="102"/>
      <c r="C19" s="72"/>
      <c r="D19" s="73"/>
      <c r="E19" s="75"/>
      <c r="F19" s="78"/>
      <c r="G19" s="87"/>
      <c r="H19" s="77"/>
      <c r="I19" s="87"/>
      <c r="J19" s="77"/>
      <c r="K19" s="79"/>
      <c r="L19" s="78"/>
      <c r="M19" s="87"/>
      <c r="N19" s="77"/>
      <c r="O19" s="617"/>
      <c r="P19" s="103"/>
      <c r="Q19" s="74"/>
      <c r="R19" s="74"/>
      <c r="S19" s="76"/>
      <c r="T19" s="73"/>
      <c r="U19" s="76"/>
      <c r="V19" s="77">
        <v>87658</v>
      </c>
      <c r="W19" s="87">
        <v>83119</v>
      </c>
      <c r="X19" s="73"/>
      <c r="Y19" s="76"/>
      <c r="Z19" s="891"/>
      <c r="AA19" s="81"/>
      <c r="AB19" s="103"/>
      <c r="AC19" s="76"/>
      <c r="AD19" s="73"/>
      <c r="AE19" s="76"/>
      <c r="AF19" s="73"/>
      <c r="AG19" s="76"/>
      <c r="AH19" s="73"/>
      <c r="AI19" s="76"/>
      <c r="AJ19" s="73"/>
      <c r="AK19" s="76"/>
      <c r="AL19" s="73"/>
      <c r="AM19" s="75"/>
      <c r="AN19" s="180"/>
      <c r="AO19" s="179"/>
      <c r="AP19" s="382"/>
      <c r="AQ19" s="619"/>
      <c r="AR19" s="92"/>
      <c r="AS19" s="94"/>
      <c r="AT19" s="77"/>
      <c r="AU19" s="79"/>
      <c r="AV19" s="107">
        <f t="shared" si="0"/>
        <v>87658</v>
      </c>
      <c r="AW19" s="107">
        <f t="shared" si="1"/>
        <v>83119</v>
      </c>
      <c r="AX19" s="104"/>
      <c r="AY19" s="93"/>
      <c r="AZ19" s="105">
        <f t="shared" si="2"/>
        <v>87658</v>
      </c>
      <c r="BA19" s="105">
        <f t="shared" si="3"/>
        <v>83119</v>
      </c>
    </row>
    <row r="20" spans="1:53" s="71" customFormat="1" thickBot="1" x14ac:dyDescent="0.35">
      <c r="A20" s="328" t="s">
        <v>45</v>
      </c>
      <c r="B20" s="102"/>
      <c r="C20" s="72"/>
      <c r="D20" s="73"/>
      <c r="E20" s="75"/>
      <c r="F20" s="78"/>
      <c r="G20" s="87">
        <v>66680</v>
      </c>
      <c r="H20" s="77">
        <v>34224</v>
      </c>
      <c r="I20" s="87">
        <v>405190</v>
      </c>
      <c r="J20" s="77"/>
      <c r="K20" s="79"/>
      <c r="L20" s="78"/>
      <c r="M20" s="87"/>
      <c r="N20" s="77">
        <v>3208</v>
      </c>
      <c r="O20" s="617">
        <v>6911</v>
      </c>
      <c r="P20" s="103">
        <v>597</v>
      </c>
      <c r="Q20" s="74">
        <v>174</v>
      </c>
      <c r="R20" s="74"/>
      <c r="S20" s="76"/>
      <c r="T20" s="73"/>
      <c r="U20" s="76"/>
      <c r="V20" s="77">
        <v>132329</v>
      </c>
      <c r="W20" s="87">
        <v>207130</v>
      </c>
      <c r="X20" s="73">
        <v>235150</v>
      </c>
      <c r="Y20" s="76">
        <v>176962</v>
      </c>
      <c r="Z20" s="891"/>
      <c r="AA20" s="81"/>
      <c r="AB20" s="103"/>
      <c r="AC20" s="76"/>
      <c r="AD20" s="73"/>
      <c r="AE20" s="76"/>
      <c r="AF20" s="73"/>
      <c r="AG20" s="76"/>
      <c r="AH20" s="73">
        <v>42621</v>
      </c>
      <c r="AI20" s="76">
        <v>74287</v>
      </c>
      <c r="AJ20" s="73"/>
      <c r="AK20" s="76"/>
      <c r="AL20" s="73"/>
      <c r="AM20" s="75"/>
      <c r="AN20" s="180">
        <v>71855</v>
      </c>
      <c r="AO20" s="179">
        <v>99295</v>
      </c>
      <c r="AP20" s="382"/>
      <c r="AQ20" s="619"/>
      <c r="AR20" s="92"/>
      <c r="AS20" s="94"/>
      <c r="AT20" s="77">
        <v>25375</v>
      </c>
      <c r="AU20" s="79">
        <v>38996</v>
      </c>
      <c r="AV20" s="107">
        <f t="shared" si="0"/>
        <v>545359</v>
      </c>
      <c r="AW20" s="107">
        <f t="shared" si="1"/>
        <v>1075625</v>
      </c>
      <c r="AX20" s="104"/>
      <c r="AY20" s="93"/>
      <c r="AZ20" s="105">
        <f t="shared" si="2"/>
        <v>545359</v>
      </c>
      <c r="BA20" s="105">
        <f t="shared" si="3"/>
        <v>1075625</v>
      </c>
    </row>
    <row r="21" spans="1:53" s="71" customFormat="1" thickBot="1" x14ac:dyDescent="0.35">
      <c r="A21" s="328" t="s">
        <v>46</v>
      </c>
      <c r="B21" s="102"/>
      <c r="C21" s="72"/>
      <c r="D21" s="73"/>
      <c r="E21" s="75"/>
      <c r="F21" s="78"/>
      <c r="G21" s="87"/>
      <c r="H21" s="77"/>
      <c r="I21" s="87"/>
      <c r="J21" s="77"/>
      <c r="K21" s="79"/>
      <c r="L21" s="78"/>
      <c r="M21" s="87"/>
      <c r="N21" s="77">
        <v>2009</v>
      </c>
      <c r="O21" s="617">
        <v>2051</v>
      </c>
      <c r="P21" s="103"/>
      <c r="Q21" s="74"/>
      <c r="R21" s="74"/>
      <c r="S21" s="76"/>
      <c r="T21" s="73">
        <v>3959</v>
      </c>
      <c r="U21" s="76">
        <v>3505</v>
      </c>
      <c r="V21" s="77"/>
      <c r="W21" s="87"/>
      <c r="X21" s="73"/>
      <c r="Y21" s="76"/>
      <c r="Z21" s="891"/>
      <c r="AA21" s="81"/>
      <c r="AB21" s="103">
        <v>2611</v>
      </c>
      <c r="AC21" s="76">
        <v>2216</v>
      </c>
      <c r="AD21" s="73"/>
      <c r="AE21" s="76"/>
      <c r="AF21" s="73"/>
      <c r="AG21" s="76"/>
      <c r="AH21" s="73"/>
      <c r="AI21" s="76"/>
      <c r="AJ21" s="73">
        <v>4401</v>
      </c>
      <c r="AK21" s="76">
        <v>5364</v>
      </c>
      <c r="AL21" s="73"/>
      <c r="AM21" s="75"/>
      <c r="AN21" s="180"/>
      <c r="AO21" s="179"/>
      <c r="AP21" s="382"/>
      <c r="AQ21" s="619"/>
      <c r="AR21" s="92">
        <v>764</v>
      </c>
      <c r="AS21" s="94">
        <v>1242</v>
      </c>
      <c r="AT21" s="77"/>
      <c r="AU21" s="79"/>
      <c r="AV21" s="107">
        <f t="shared" si="0"/>
        <v>13744</v>
      </c>
      <c r="AW21" s="107">
        <f t="shared" si="1"/>
        <v>14378</v>
      </c>
      <c r="AX21" s="104"/>
      <c r="AY21" s="93"/>
      <c r="AZ21" s="105">
        <f t="shared" si="2"/>
        <v>13744</v>
      </c>
      <c r="BA21" s="105">
        <f t="shared" si="3"/>
        <v>14378</v>
      </c>
    </row>
    <row r="22" spans="1:53" s="71" customFormat="1" thickBot="1" x14ac:dyDescent="0.35">
      <c r="A22" s="328" t="s">
        <v>47</v>
      </c>
      <c r="B22" s="102"/>
      <c r="C22" s="72"/>
      <c r="D22" s="73">
        <v>5335</v>
      </c>
      <c r="E22" s="75">
        <v>10961</v>
      </c>
      <c r="F22" s="78"/>
      <c r="G22" s="87"/>
      <c r="H22" s="77">
        <v>79240</v>
      </c>
      <c r="I22" s="87">
        <v>77024</v>
      </c>
      <c r="J22" s="77"/>
      <c r="K22" s="79"/>
      <c r="L22" s="78"/>
      <c r="M22" s="87"/>
      <c r="N22" s="77">
        <v>4855</v>
      </c>
      <c r="O22" s="617">
        <v>5662</v>
      </c>
      <c r="P22" s="103"/>
      <c r="Q22" s="74"/>
      <c r="R22" s="74"/>
      <c r="S22" s="76"/>
      <c r="T22" s="108">
        <f>311442+661070+2465</f>
        <v>974977</v>
      </c>
      <c r="U22" s="76">
        <f>284044+115404+1973</f>
        <v>401421</v>
      </c>
      <c r="V22" s="77"/>
      <c r="W22" s="87"/>
      <c r="X22" s="73"/>
      <c r="Y22" s="76"/>
      <c r="Z22" s="891">
        <v>730</v>
      </c>
      <c r="AA22" s="81">
        <v>542</v>
      </c>
      <c r="AB22" s="103"/>
      <c r="AC22" s="76"/>
      <c r="AD22" s="73">
        <f>4530+7417</f>
        <v>11947</v>
      </c>
      <c r="AE22" s="76">
        <v>777</v>
      </c>
      <c r="AF22" s="73">
        <v>122215</v>
      </c>
      <c r="AG22" s="76">
        <v>112411</v>
      </c>
      <c r="AH22" s="73"/>
      <c r="AI22" s="76"/>
      <c r="AJ22" s="73">
        <v>69588</v>
      </c>
      <c r="AK22" s="76">
        <v>129143</v>
      </c>
      <c r="AL22" s="73"/>
      <c r="AM22" s="75"/>
      <c r="AN22" s="180">
        <v>4222</v>
      </c>
      <c r="AO22" s="179">
        <v>5581</v>
      </c>
      <c r="AP22" s="382">
        <v>8661</v>
      </c>
      <c r="AQ22" s="619">
        <v>10358</v>
      </c>
      <c r="AR22" s="92">
        <f>-20971+3509+3012</f>
        <v>-14450</v>
      </c>
      <c r="AS22" s="94">
        <f>2789+3319+3185</f>
        <v>9293</v>
      </c>
      <c r="AT22" s="77"/>
      <c r="AU22" s="79"/>
      <c r="AV22" s="107">
        <f t="shared" si="0"/>
        <v>1267320</v>
      </c>
      <c r="AW22" s="107">
        <f t="shared" si="1"/>
        <v>763173</v>
      </c>
      <c r="AX22" s="104"/>
      <c r="AY22" s="93">
        <v>4237436</v>
      </c>
      <c r="AZ22" s="105">
        <f t="shared" si="2"/>
        <v>1267320</v>
      </c>
      <c r="BA22" s="105">
        <f t="shared" si="3"/>
        <v>5000609</v>
      </c>
    </row>
    <row r="23" spans="1:53" s="71" customFormat="1" thickBot="1" x14ac:dyDescent="0.35">
      <c r="A23" s="328" t="s">
        <v>48</v>
      </c>
      <c r="B23" s="102"/>
      <c r="C23" s="72"/>
      <c r="D23" s="73"/>
      <c r="E23" s="75"/>
      <c r="F23" s="78"/>
      <c r="G23" s="87"/>
      <c r="H23" s="77"/>
      <c r="I23" s="87"/>
      <c r="J23" s="77"/>
      <c r="K23" s="79"/>
      <c r="L23" s="78"/>
      <c r="M23" s="87"/>
      <c r="N23" s="77"/>
      <c r="O23" s="617"/>
      <c r="P23" s="103"/>
      <c r="Q23" s="74"/>
      <c r="R23" s="74"/>
      <c r="S23" s="76"/>
      <c r="T23" s="73"/>
      <c r="U23" s="76"/>
      <c r="V23" s="77"/>
      <c r="W23" s="87"/>
      <c r="X23" s="73"/>
      <c r="Y23" s="76"/>
      <c r="Z23" s="891"/>
      <c r="AA23" s="81"/>
      <c r="AB23" s="103"/>
      <c r="AC23" s="76"/>
      <c r="AD23" s="73"/>
      <c r="AE23" s="76"/>
      <c r="AF23" s="73"/>
      <c r="AG23" s="76"/>
      <c r="AH23" s="73"/>
      <c r="AI23" s="76"/>
      <c r="AJ23" s="73"/>
      <c r="AK23" s="76"/>
      <c r="AL23" s="73"/>
      <c r="AM23" s="75"/>
      <c r="AN23" s="77"/>
      <c r="AO23" s="179"/>
      <c r="AP23" s="382"/>
      <c r="AQ23" s="619"/>
      <c r="AR23" s="92"/>
      <c r="AS23" s="94"/>
      <c r="AT23" s="77"/>
      <c r="AU23" s="79"/>
      <c r="AV23" s="107">
        <f t="shared" si="0"/>
        <v>0</v>
      </c>
      <c r="AW23" s="107">
        <f t="shared" si="1"/>
        <v>0</v>
      </c>
      <c r="AX23" s="104"/>
      <c r="AY23" s="93"/>
      <c r="AZ23" s="105">
        <f t="shared" si="2"/>
        <v>0</v>
      </c>
      <c r="BA23" s="105"/>
    </row>
    <row r="24" spans="1:53" s="71" customFormat="1" thickBot="1" x14ac:dyDescent="0.35">
      <c r="A24" s="328" t="s">
        <v>31</v>
      </c>
      <c r="B24" s="110">
        <v>-1435917</v>
      </c>
      <c r="C24" s="72">
        <v>-1326398</v>
      </c>
      <c r="D24" s="82">
        <v>-283274</v>
      </c>
      <c r="E24" s="75">
        <v>-271879</v>
      </c>
      <c r="F24" s="98"/>
      <c r="G24" s="87">
        <v>-216647</v>
      </c>
      <c r="H24" s="95">
        <v>-480564</v>
      </c>
      <c r="I24" s="87">
        <v>-236333</v>
      </c>
      <c r="J24" s="95">
        <v>-111853</v>
      </c>
      <c r="K24" s="79">
        <v>-102854</v>
      </c>
      <c r="L24" s="98">
        <v>-367052</v>
      </c>
      <c r="M24" s="87">
        <v>-303070</v>
      </c>
      <c r="N24" s="95">
        <v>-440001</v>
      </c>
      <c r="O24" s="617">
        <v>-752750</v>
      </c>
      <c r="P24" s="111">
        <v>-245893</v>
      </c>
      <c r="Q24" s="74">
        <v>-177911</v>
      </c>
      <c r="R24" s="85">
        <v>-379296</v>
      </c>
      <c r="S24" s="76">
        <v>-422921</v>
      </c>
      <c r="T24" s="82">
        <v>-321630</v>
      </c>
      <c r="U24" s="76">
        <v>-380940</v>
      </c>
      <c r="V24" s="95">
        <v>-2406389</v>
      </c>
      <c r="W24" s="87">
        <v>-1483183</v>
      </c>
      <c r="X24" s="82">
        <v>-4372198</v>
      </c>
      <c r="Y24" s="76">
        <v>-2689827</v>
      </c>
      <c r="Z24" s="891">
        <v>-188041</v>
      </c>
      <c r="AA24" s="81">
        <v>-93691</v>
      </c>
      <c r="AB24" s="111">
        <v>-564148</v>
      </c>
      <c r="AC24" s="76">
        <v>-403397</v>
      </c>
      <c r="AD24" s="112">
        <v>-975765</v>
      </c>
      <c r="AE24" s="76">
        <v>-440142</v>
      </c>
      <c r="AF24" s="82">
        <v>-1502110</v>
      </c>
      <c r="AG24" s="76">
        <v>-957350</v>
      </c>
      <c r="AH24" s="82">
        <v>-872350</v>
      </c>
      <c r="AI24" s="76">
        <v>-539076</v>
      </c>
      <c r="AJ24" s="82">
        <v>-89747</v>
      </c>
      <c r="AK24" s="76">
        <v>-99008</v>
      </c>
      <c r="AL24" s="73"/>
      <c r="AM24" s="75"/>
      <c r="AN24" s="180">
        <v>-1312527</v>
      </c>
      <c r="AO24" s="179">
        <v>-904866</v>
      </c>
      <c r="AP24" s="382">
        <v>-24944</v>
      </c>
      <c r="AQ24" s="619">
        <v>-34208</v>
      </c>
      <c r="AR24" s="92">
        <v>-241517</v>
      </c>
      <c r="AS24" s="94">
        <v>-227429</v>
      </c>
      <c r="AT24" s="95">
        <v>-1514484</v>
      </c>
      <c r="AU24" s="79">
        <v>-748981</v>
      </c>
      <c r="AV24" s="107">
        <f t="shared" si="0"/>
        <v>-18129700</v>
      </c>
      <c r="AW24" s="107">
        <f t="shared" si="1"/>
        <v>-12812861</v>
      </c>
      <c r="AX24" s="105"/>
      <c r="AY24" s="93">
        <v>-279725</v>
      </c>
      <c r="AZ24" s="105">
        <f t="shared" si="2"/>
        <v>-18129700</v>
      </c>
      <c r="BA24" s="105">
        <f>AW24+AY24</f>
        <v>-13092586</v>
      </c>
    </row>
    <row r="25" spans="1:53" s="71" customFormat="1" thickBot="1" x14ac:dyDescent="0.35">
      <c r="A25" s="328" t="s">
        <v>32</v>
      </c>
      <c r="B25" s="102"/>
      <c r="C25" s="72"/>
      <c r="D25" s="73"/>
      <c r="E25" s="75"/>
      <c r="F25" s="78"/>
      <c r="G25" s="87"/>
      <c r="H25" s="77"/>
      <c r="I25" s="87"/>
      <c r="J25" s="77"/>
      <c r="K25" s="79"/>
      <c r="L25" s="78"/>
      <c r="M25" s="87"/>
      <c r="N25" s="77"/>
      <c r="O25" s="617"/>
      <c r="P25" s="103"/>
      <c r="Q25" s="74"/>
      <c r="R25" s="74"/>
      <c r="S25" s="76"/>
      <c r="T25" s="73"/>
      <c r="U25" s="76"/>
      <c r="V25" s="77"/>
      <c r="W25" s="87"/>
      <c r="X25" s="73"/>
      <c r="Y25" s="76"/>
      <c r="Z25" s="891"/>
      <c r="AA25" s="81"/>
      <c r="AB25" s="103"/>
      <c r="AC25" s="76"/>
      <c r="AD25" s="73"/>
      <c r="AE25" s="76"/>
      <c r="AF25" s="73"/>
      <c r="AG25" s="76"/>
      <c r="AH25" s="73"/>
      <c r="AI25" s="76"/>
      <c r="AJ25" s="73"/>
      <c r="AK25" s="76"/>
      <c r="AL25" s="73"/>
      <c r="AM25" s="75"/>
      <c r="AN25" s="77"/>
      <c r="AO25" s="179"/>
      <c r="AP25" s="382"/>
      <c r="AQ25" s="619"/>
      <c r="AR25" s="92"/>
      <c r="AS25" s="94"/>
      <c r="AT25" s="77"/>
      <c r="AU25" s="79"/>
      <c r="AV25" s="107">
        <f t="shared" si="0"/>
        <v>0</v>
      </c>
      <c r="AW25" s="107">
        <f t="shared" si="1"/>
        <v>0</v>
      </c>
      <c r="AX25" s="279"/>
      <c r="AY25" s="93"/>
      <c r="AZ25" s="105">
        <f t="shared" si="2"/>
        <v>0</v>
      </c>
      <c r="BA25" s="105"/>
    </row>
    <row r="26" spans="1:53" s="71" customFormat="1" thickBot="1" x14ac:dyDescent="0.35">
      <c r="A26" s="328" t="s">
        <v>49</v>
      </c>
      <c r="B26" s="102"/>
      <c r="C26" s="72"/>
      <c r="D26" s="73"/>
      <c r="E26" s="75"/>
      <c r="F26" s="78"/>
      <c r="G26" s="87"/>
      <c r="H26" s="77"/>
      <c r="I26" s="87"/>
      <c r="J26" s="77"/>
      <c r="K26" s="79"/>
      <c r="L26" s="78"/>
      <c r="M26" s="87"/>
      <c r="N26" s="77"/>
      <c r="O26" s="617"/>
      <c r="P26" s="103"/>
      <c r="Q26" s="74"/>
      <c r="R26" s="74"/>
      <c r="S26" s="76"/>
      <c r="T26" s="73"/>
      <c r="U26" s="76"/>
      <c r="V26" s="77"/>
      <c r="W26" s="87"/>
      <c r="X26" s="73"/>
      <c r="Y26" s="76"/>
      <c r="Z26" s="891"/>
      <c r="AA26" s="81"/>
      <c r="AB26" s="103"/>
      <c r="AC26" s="76"/>
      <c r="AD26" s="73"/>
      <c r="AE26" s="76"/>
      <c r="AF26" s="73"/>
      <c r="AG26" s="76"/>
      <c r="AH26" s="73"/>
      <c r="AI26" s="76"/>
      <c r="AJ26" s="73"/>
      <c r="AK26" s="76"/>
      <c r="AL26" s="73"/>
      <c r="AM26" s="75"/>
      <c r="AN26" s="77"/>
      <c r="AO26" s="179"/>
      <c r="AP26" s="382"/>
      <c r="AQ26" s="619"/>
      <c r="AR26" s="92"/>
      <c r="AS26" s="94"/>
      <c r="AT26" s="77"/>
      <c r="AU26" s="79"/>
      <c r="AV26" s="107">
        <f t="shared" si="0"/>
        <v>0</v>
      </c>
      <c r="AW26" s="107">
        <f t="shared" si="1"/>
        <v>0</v>
      </c>
      <c r="AX26" s="279"/>
      <c r="AY26" s="93"/>
      <c r="AZ26" s="105">
        <f t="shared" si="2"/>
        <v>0</v>
      </c>
      <c r="BA26" s="105"/>
    </row>
    <row r="27" spans="1:53" s="71" customFormat="1" ht="14.25" x14ac:dyDescent="0.3">
      <c r="A27" s="328" t="s">
        <v>50</v>
      </c>
      <c r="B27" s="102">
        <v>-9829</v>
      </c>
      <c r="C27" s="72">
        <v>-2629</v>
      </c>
      <c r="D27" s="73">
        <v>-268</v>
      </c>
      <c r="E27" s="75">
        <v>-1871</v>
      </c>
      <c r="F27" s="78"/>
      <c r="G27" s="87"/>
      <c r="H27" s="77">
        <v>-18915</v>
      </c>
      <c r="I27" s="87">
        <f>-500-1427</f>
        <v>-1927</v>
      </c>
      <c r="J27" s="77">
        <v>-1691</v>
      </c>
      <c r="K27" s="79">
        <v>-4328</v>
      </c>
      <c r="L27" s="78"/>
      <c r="M27" s="87"/>
      <c r="N27" s="77">
        <v>-275</v>
      </c>
      <c r="O27" s="617">
        <v>-708</v>
      </c>
      <c r="P27" s="103">
        <v>-1947</v>
      </c>
      <c r="Q27" s="74">
        <v>-7784</v>
      </c>
      <c r="R27" s="74"/>
      <c r="S27" s="76"/>
      <c r="T27" s="73">
        <v>-2995</v>
      </c>
      <c r="U27" s="76">
        <v>-1232</v>
      </c>
      <c r="V27" s="77">
        <v>-83435</v>
      </c>
      <c r="W27" s="87">
        <v>-117720</v>
      </c>
      <c r="X27" s="73">
        <v>-140642</v>
      </c>
      <c r="Y27" s="76">
        <v>-233815</v>
      </c>
      <c r="Z27" s="891"/>
      <c r="AA27" s="81"/>
      <c r="AB27" s="103">
        <v>-3451</v>
      </c>
      <c r="AC27" s="76">
        <v>-3640</v>
      </c>
      <c r="AD27" s="73"/>
      <c r="AE27" s="76"/>
      <c r="AF27" s="73">
        <v>-28914</v>
      </c>
      <c r="AG27" s="76">
        <v>-32610</v>
      </c>
      <c r="AH27" s="73">
        <v>-7778</v>
      </c>
      <c r="AI27" s="76">
        <v>-8583</v>
      </c>
      <c r="AJ27" s="73">
        <v>-971</v>
      </c>
      <c r="AK27" s="76">
        <v>-663</v>
      </c>
      <c r="AL27" s="73"/>
      <c r="AM27" s="75"/>
      <c r="AN27" s="180">
        <v>-2167</v>
      </c>
      <c r="AO27" s="179">
        <v>-426</v>
      </c>
      <c r="AP27" s="382"/>
      <c r="AQ27" s="619"/>
      <c r="AR27" s="92">
        <v>-11841</v>
      </c>
      <c r="AS27" s="94">
        <v>-13198</v>
      </c>
      <c r="AT27" s="77"/>
      <c r="AU27" s="79"/>
      <c r="AV27" s="107">
        <f t="shared" si="0"/>
        <v>-315119</v>
      </c>
      <c r="AW27" s="107">
        <f t="shared" si="1"/>
        <v>-431134</v>
      </c>
      <c r="AX27" s="279"/>
      <c r="AY27" s="93">
        <v>-100215</v>
      </c>
      <c r="AZ27" s="105">
        <f t="shared" si="2"/>
        <v>-315119</v>
      </c>
      <c r="BA27" s="105">
        <f>AW27+AY27</f>
        <v>-531349</v>
      </c>
    </row>
    <row r="28" spans="1:53" s="71" customFormat="1" ht="14.25" x14ac:dyDescent="0.3">
      <c r="A28" s="328" t="s">
        <v>51</v>
      </c>
      <c r="B28" s="102"/>
      <c r="C28" s="72"/>
      <c r="D28" s="73">
        <v>-4285</v>
      </c>
      <c r="E28" s="75">
        <v>-22135</v>
      </c>
      <c r="F28" s="78"/>
      <c r="G28" s="87"/>
      <c r="H28" s="77">
        <v>-2040</v>
      </c>
      <c r="I28" s="87">
        <v>-6924</v>
      </c>
      <c r="J28" s="77"/>
      <c r="K28" s="79"/>
      <c r="L28" s="78"/>
      <c r="M28" s="87"/>
      <c r="N28" s="77"/>
      <c r="O28" s="617"/>
      <c r="P28" s="103"/>
      <c r="Q28" s="74"/>
      <c r="R28" s="74"/>
      <c r="S28" s="76"/>
      <c r="T28" s="73"/>
      <c r="U28" s="76"/>
      <c r="V28" s="77"/>
      <c r="W28" s="87"/>
      <c r="X28" s="73"/>
      <c r="Y28" s="76"/>
      <c r="Z28" s="891"/>
      <c r="AA28" s="81">
        <v>-9</v>
      </c>
      <c r="AB28" s="103"/>
      <c r="AC28" s="76"/>
      <c r="AD28" s="73"/>
      <c r="AE28" s="76">
        <v>-981</v>
      </c>
      <c r="AF28" s="73"/>
      <c r="AG28" s="76"/>
      <c r="AH28" s="73"/>
      <c r="AI28" s="76"/>
      <c r="AJ28" s="73"/>
      <c r="AK28" s="76"/>
      <c r="AL28" s="73"/>
      <c r="AM28" s="75"/>
      <c r="AN28" s="180"/>
      <c r="AO28" s="181"/>
      <c r="AP28" s="382"/>
      <c r="AQ28" s="619"/>
      <c r="AR28" s="92"/>
      <c r="AS28" s="94"/>
      <c r="AT28" s="77"/>
      <c r="AU28" s="79"/>
      <c r="AV28" s="107">
        <f t="shared" si="0"/>
        <v>-6325</v>
      </c>
      <c r="AW28" s="107">
        <f t="shared" si="1"/>
        <v>-30049</v>
      </c>
      <c r="AX28" s="279"/>
      <c r="AY28" s="93"/>
      <c r="AZ28" s="105">
        <f t="shared" si="2"/>
        <v>-6325</v>
      </c>
      <c r="BA28" s="105">
        <f>AW28+AY28</f>
        <v>-30049</v>
      </c>
    </row>
    <row r="29" spans="1:53" s="71" customFormat="1" ht="14.25" x14ac:dyDescent="0.3">
      <c r="A29" s="328" t="s">
        <v>52</v>
      </c>
      <c r="B29" s="110"/>
      <c r="C29" s="72"/>
      <c r="D29" s="82"/>
      <c r="E29" s="75"/>
      <c r="F29" s="98"/>
      <c r="G29" s="87"/>
      <c r="H29" s="95"/>
      <c r="I29" s="87"/>
      <c r="J29" s="95"/>
      <c r="K29" s="79"/>
      <c r="L29" s="98"/>
      <c r="M29" s="87"/>
      <c r="N29" s="95"/>
      <c r="O29" s="617"/>
      <c r="P29" s="111"/>
      <c r="Q29" s="74"/>
      <c r="R29" s="85"/>
      <c r="S29" s="76"/>
      <c r="T29" s="82"/>
      <c r="U29" s="76"/>
      <c r="V29" s="95"/>
      <c r="W29" s="87"/>
      <c r="X29" s="82"/>
      <c r="Y29" s="76"/>
      <c r="Z29" s="80"/>
      <c r="AA29" s="81"/>
      <c r="AB29" s="111"/>
      <c r="AC29" s="76"/>
      <c r="AD29" s="112"/>
      <c r="AE29" s="76"/>
      <c r="AF29" s="82"/>
      <c r="AG29" s="76"/>
      <c r="AH29" s="82"/>
      <c r="AI29" s="76"/>
      <c r="AJ29" s="82"/>
      <c r="AK29" s="76"/>
      <c r="AL29" s="73"/>
      <c r="AM29" s="75"/>
      <c r="AN29" s="77"/>
      <c r="AO29" s="79"/>
      <c r="AP29" s="382"/>
      <c r="AQ29" s="619"/>
      <c r="AR29" s="92"/>
      <c r="AS29" s="94"/>
      <c r="AT29" s="95"/>
      <c r="AU29" s="99"/>
      <c r="AV29" s="107">
        <f t="shared" si="0"/>
        <v>0</v>
      </c>
      <c r="AW29" s="107">
        <f t="shared" si="1"/>
        <v>0</v>
      </c>
      <c r="AX29" s="105"/>
      <c r="AY29" s="98"/>
      <c r="AZ29" s="105">
        <f t="shared" si="2"/>
        <v>0</v>
      </c>
      <c r="BA29" s="105"/>
    </row>
    <row r="30" spans="1:53" s="71" customFormat="1" ht="14.25" x14ac:dyDescent="0.3">
      <c r="A30" s="328" t="s">
        <v>31</v>
      </c>
      <c r="B30" s="102"/>
      <c r="C30" s="72"/>
      <c r="D30" s="73"/>
      <c r="E30" s="75"/>
      <c r="F30" s="78"/>
      <c r="G30" s="87"/>
      <c r="H30" s="77"/>
      <c r="I30" s="87"/>
      <c r="J30" s="77"/>
      <c r="K30" s="79"/>
      <c r="L30" s="78"/>
      <c r="M30" s="87"/>
      <c r="N30" s="77"/>
      <c r="O30" s="617"/>
      <c r="P30" s="103"/>
      <c r="Q30" s="74"/>
      <c r="R30" s="74"/>
      <c r="S30" s="76"/>
      <c r="T30" s="73"/>
      <c r="U30" s="76"/>
      <c r="V30" s="77"/>
      <c r="W30" s="87"/>
      <c r="X30" s="73"/>
      <c r="Y30" s="76"/>
      <c r="Z30" s="80"/>
      <c r="AA30" s="81"/>
      <c r="AB30" s="103"/>
      <c r="AC30" s="76"/>
      <c r="AD30" s="73"/>
      <c r="AE30" s="76"/>
      <c r="AF30" s="73"/>
      <c r="AG30" s="76"/>
      <c r="AH30" s="73"/>
      <c r="AI30" s="76"/>
      <c r="AJ30" s="73"/>
      <c r="AK30" s="76"/>
      <c r="AL30" s="73"/>
      <c r="AM30" s="75"/>
      <c r="AN30" s="77"/>
      <c r="AO30" s="79"/>
      <c r="AP30" s="382"/>
      <c r="AQ30" s="619"/>
      <c r="AR30" s="92"/>
      <c r="AS30" s="94"/>
      <c r="AT30" s="77"/>
      <c r="AU30" s="79"/>
      <c r="AV30" s="107">
        <f t="shared" si="0"/>
        <v>0</v>
      </c>
      <c r="AW30" s="107">
        <f t="shared" si="1"/>
        <v>0</v>
      </c>
      <c r="AX30" s="279"/>
      <c r="AY30" s="93"/>
      <c r="AZ30" s="105">
        <f t="shared" si="2"/>
        <v>0</v>
      </c>
      <c r="BA30" s="105">
        <f>AW30+AY30</f>
        <v>0</v>
      </c>
    </row>
    <row r="31" spans="1:53" s="71" customFormat="1" ht="14.25" x14ac:dyDescent="0.3">
      <c r="A31" s="328" t="s">
        <v>32</v>
      </c>
      <c r="B31" s="102"/>
      <c r="C31" s="72"/>
      <c r="D31" s="73"/>
      <c r="E31" s="75"/>
      <c r="F31" s="78"/>
      <c r="G31" s="87"/>
      <c r="H31" s="77"/>
      <c r="I31" s="87"/>
      <c r="J31" s="77"/>
      <c r="K31" s="79"/>
      <c r="L31" s="78"/>
      <c r="M31" s="87"/>
      <c r="N31" s="77"/>
      <c r="O31" s="617"/>
      <c r="P31" s="103"/>
      <c r="Q31" s="74"/>
      <c r="R31" s="74"/>
      <c r="S31" s="76"/>
      <c r="T31" s="73"/>
      <c r="U31" s="76"/>
      <c r="V31" s="77"/>
      <c r="W31" s="87"/>
      <c r="X31" s="73"/>
      <c r="Y31" s="76"/>
      <c r="Z31" s="80"/>
      <c r="AA31" s="81"/>
      <c r="AB31" s="103"/>
      <c r="AC31" s="76"/>
      <c r="AD31" s="73"/>
      <c r="AE31" s="76"/>
      <c r="AF31" s="73"/>
      <c r="AG31" s="76"/>
      <c r="AH31" s="73"/>
      <c r="AI31" s="76"/>
      <c r="AJ31" s="73"/>
      <c r="AK31" s="76"/>
      <c r="AL31" s="73"/>
      <c r="AM31" s="75"/>
      <c r="AN31" s="77"/>
      <c r="AO31" s="79"/>
      <c r="AP31" s="382"/>
      <c r="AQ31" s="619"/>
      <c r="AR31" s="92"/>
      <c r="AS31" s="94"/>
      <c r="AT31" s="77"/>
      <c r="AU31" s="79"/>
      <c r="AV31" s="107">
        <f t="shared" si="0"/>
        <v>0</v>
      </c>
      <c r="AW31" s="107">
        <f t="shared" si="1"/>
        <v>0</v>
      </c>
      <c r="AX31" s="279"/>
      <c r="AY31" s="93"/>
      <c r="AZ31" s="105">
        <f t="shared" si="2"/>
        <v>0</v>
      </c>
      <c r="BA31" s="105"/>
    </row>
    <row r="32" spans="1:53" s="71" customFormat="1" ht="14.25" x14ac:dyDescent="0.3">
      <c r="A32" s="328" t="s">
        <v>49</v>
      </c>
      <c r="B32" s="102"/>
      <c r="C32" s="72"/>
      <c r="D32" s="73"/>
      <c r="E32" s="75"/>
      <c r="F32" s="78"/>
      <c r="G32" s="87"/>
      <c r="H32" s="77"/>
      <c r="I32" s="87"/>
      <c r="J32" s="77"/>
      <c r="K32" s="79"/>
      <c r="L32" s="78"/>
      <c r="M32" s="87"/>
      <c r="N32" s="77"/>
      <c r="O32" s="617"/>
      <c r="P32" s="103"/>
      <c r="Q32" s="74"/>
      <c r="R32" s="74"/>
      <c r="S32" s="76"/>
      <c r="T32" s="73"/>
      <c r="U32" s="76"/>
      <c r="V32" s="77"/>
      <c r="W32" s="87"/>
      <c r="X32" s="73"/>
      <c r="Y32" s="76"/>
      <c r="Z32" s="80"/>
      <c r="AA32" s="81"/>
      <c r="AB32" s="103"/>
      <c r="AC32" s="76"/>
      <c r="AD32" s="73"/>
      <c r="AE32" s="76"/>
      <c r="AF32" s="73"/>
      <c r="AG32" s="76"/>
      <c r="AH32" s="73"/>
      <c r="AI32" s="76"/>
      <c r="AJ32" s="73"/>
      <c r="AK32" s="76"/>
      <c r="AL32" s="73"/>
      <c r="AM32" s="75"/>
      <c r="AN32" s="77"/>
      <c r="AO32" s="79"/>
      <c r="AP32" s="382"/>
      <c r="AQ32" s="619"/>
      <c r="AR32" s="92"/>
      <c r="AS32" s="94"/>
      <c r="AT32" s="77"/>
      <c r="AU32" s="79"/>
      <c r="AV32" s="107">
        <f t="shared" si="0"/>
        <v>0</v>
      </c>
      <c r="AW32" s="107">
        <f>SUM(C32+E32+G32+I32+K32+M32+O32+Q32+S32+U32+W32+Y32+AA32+AC32+AE32+AG32+AI32+AK32+AM32+AO32+AQ32+AS32+AU32)</f>
        <v>0</v>
      </c>
      <c r="AX32" s="279"/>
      <c r="AY32" s="93"/>
      <c r="AZ32" s="105">
        <f t="shared" si="2"/>
        <v>0</v>
      </c>
      <c r="BA32" s="105"/>
    </row>
    <row r="33" spans="1:58" s="71" customFormat="1" thickBot="1" x14ac:dyDescent="0.35">
      <c r="A33" s="921" t="s">
        <v>53</v>
      </c>
      <c r="B33" s="113"/>
      <c r="C33" s="72"/>
      <c r="D33" s="119"/>
      <c r="E33" s="75"/>
      <c r="F33" s="118"/>
      <c r="G33" s="87"/>
      <c r="H33" s="120">
        <v>-240</v>
      </c>
      <c r="I33" s="87"/>
      <c r="J33" s="120"/>
      <c r="K33" s="79"/>
      <c r="L33" s="118"/>
      <c r="M33" s="87"/>
      <c r="N33" s="120"/>
      <c r="O33" s="617"/>
      <c r="P33" s="114"/>
      <c r="Q33" s="74"/>
      <c r="R33" s="115"/>
      <c r="S33" s="76"/>
      <c r="T33" s="119"/>
      <c r="U33" s="76"/>
      <c r="V33" s="120"/>
      <c r="W33" s="87"/>
      <c r="X33" s="119"/>
      <c r="Y33" s="76"/>
      <c r="Z33" s="1343"/>
      <c r="AA33" s="1344"/>
      <c r="AB33" s="114"/>
      <c r="AC33" s="76"/>
      <c r="AD33" s="119"/>
      <c r="AE33" s="76"/>
      <c r="AF33" s="119"/>
      <c r="AG33" s="76"/>
      <c r="AH33" s="119"/>
      <c r="AI33" s="76"/>
      <c r="AJ33" s="119"/>
      <c r="AK33" s="76"/>
      <c r="AL33" s="119"/>
      <c r="AM33" s="75"/>
      <c r="AN33" s="182"/>
      <c r="AO33" s="183"/>
      <c r="AP33" s="390"/>
      <c r="AQ33" s="620"/>
      <c r="AR33" s="122"/>
      <c r="AS33" s="271"/>
      <c r="AT33" s="120"/>
      <c r="AU33" s="116"/>
      <c r="AV33" s="107">
        <f t="shared" si="0"/>
        <v>-240</v>
      </c>
      <c r="AW33" s="107">
        <f t="shared" si="1"/>
        <v>0</v>
      </c>
      <c r="AX33" s="909"/>
      <c r="AY33" s="123"/>
      <c r="AZ33" s="126">
        <f t="shared" si="2"/>
        <v>-240</v>
      </c>
      <c r="BA33" s="126"/>
    </row>
    <row r="34" spans="1:58" s="408" customFormat="1" thickBot="1" x14ac:dyDescent="0.35">
      <c r="A34" s="440" t="s">
        <v>54</v>
      </c>
      <c r="B34" s="927">
        <f t="shared" ref="B34:AG34" si="4">SUM(B6:B33)</f>
        <v>17003269</v>
      </c>
      <c r="C34" s="928">
        <f t="shared" si="4"/>
        <v>27424114</v>
      </c>
      <c r="D34" s="927">
        <f t="shared" si="4"/>
        <v>960300</v>
      </c>
      <c r="E34" s="928">
        <f t="shared" si="4"/>
        <v>1241858</v>
      </c>
      <c r="F34" s="927">
        <f t="shared" si="4"/>
        <v>0</v>
      </c>
      <c r="G34" s="929">
        <f t="shared" si="4"/>
        <v>4811103</v>
      </c>
      <c r="H34" s="927">
        <f t="shared" si="4"/>
        <v>20290996</v>
      </c>
      <c r="I34" s="929">
        <f t="shared" si="4"/>
        <v>27405019</v>
      </c>
      <c r="J34" s="927">
        <f t="shared" si="4"/>
        <v>1962650</v>
      </c>
      <c r="K34" s="928">
        <f t="shared" si="4"/>
        <v>1746532</v>
      </c>
      <c r="L34" s="927">
        <f t="shared" si="4"/>
        <v>7515918</v>
      </c>
      <c r="M34" s="929">
        <f t="shared" si="4"/>
        <v>8636937</v>
      </c>
      <c r="N34" s="927">
        <f t="shared" si="4"/>
        <v>1202692</v>
      </c>
      <c r="O34" s="928">
        <f t="shared" si="4"/>
        <v>1785067</v>
      </c>
      <c r="P34" s="930">
        <f t="shared" si="4"/>
        <v>588088</v>
      </c>
      <c r="Q34" s="928">
        <f t="shared" si="4"/>
        <v>348770</v>
      </c>
      <c r="R34" s="927">
        <f t="shared" si="4"/>
        <v>6670257</v>
      </c>
      <c r="S34" s="929">
        <f t="shared" si="4"/>
        <v>6039057</v>
      </c>
      <c r="T34" s="927">
        <f t="shared" si="4"/>
        <v>2280380</v>
      </c>
      <c r="U34" s="929">
        <f t="shared" si="4"/>
        <v>1916257</v>
      </c>
      <c r="V34" s="928">
        <f t="shared" si="4"/>
        <v>72670157</v>
      </c>
      <c r="W34" s="929">
        <f t="shared" si="4"/>
        <v>75229907</v>
      </c>
      <c r="X34" s="927">
        <f t="shared" si="4"/>
        <v>74620459</v>
      </c>
      <c r="Y34" s="929">
        <f t="shared" si="4"/>
        <v>77472001</v>
      </c>
      <c r="Z34" s="1341">
        <f t="shared" si="4"/>
        <v>3675982</v>
      </c>
      <c r="AA34" s="1342">
        <f>SUM(AA6:AA33)</f>
        <v>2419290</v>
      </c>
      <c r="AB34" s="927">
        <f t="shared" si="4"/>
        <v>23616076</v>
      </c>
      <c r="AC34" s="929">
        <f t="shared" si="4"/>
        <v>16862116</v>
      </c>
      <c r="AD34" s="927">
        <f t="shared" si="4"/>
        <v>15714663</v>
      </c>
      <c r="AE34" s="929">
        <f t="shared" si="4"/>
        <v>13509060</v>
      </c>
      <c r="AF34" s="927">
        <f t="shared" si="4"/>
        <v>26393848</v>
      </c>
      <c r="AG34" s="929">
        <f t="shared" si="4"/>
        <v>32056460</v>
      </c>
      <c r="AH34" s="927">
        <f t="shared" ref="AH34:AS34" si="5">SUM(AH6:AH33)</f>
        <v>10514913</v>
      </c>
      <c r="AI34" s="928">
        <f t="shared" si="5"/>
        <v>10442031</v>
      </c>
      <c r="AJ34" s="927">
        <f t="shared" si="5"/>
        <v>10088023</v>
      </c>
      <c r="AK34" s="929">
        <f t="shared" si="5"/>
        <v>13153793</v>
      </c>
      <c r="AL34" s="927">
        <f t="shared" si="5"/>
        <v>0</v>
      </c>
      <c r="AM34" s="928">
        <f t="shared" si="5"/>
        <v>0</v>
      </c>
      <c r="AN34" s="927">
        <f t="shared" si="5"/>
        <v>92524379</v>
      </c>
      <c r="AO34" s="928">
        <f t="shared" si="5"/>
        <v>60952978</v>
      </c>
      <c r="AP34" s="927">
        <f t="shared" si="5"/>
        <v>1807169</v>
      </c>
      <c r="AQ34" s="928">
        <f t="shared" si="5"/>
        <v>2454464</v>
      </c>
      <c r="AR34" s="927">
        <f t="shared" si="5"/>
        <v>5155666</v>
      </c>
      <c r="AS34" s="928">
        <f t="shared" si="5"/>
        <v>3995450</v>
      </c>
      <c r="AT34" s="927">
        <f>SUM(AT6:AT33)</f>
        <v>10390835</v>
      </c>
      <c r="AU34" s="928">
        <f>SUM(AU6:AU33)</f>
        <v>10722598</v>
      </c>
      <c r="AV34" s="107">
        <f t="shared" si="0"/>
        <v>405646720</v>
      </c>
      <c r="AW34" s="107">
        <f t="shared" si="1"/>
        <v>400624862</v>
      </c>
      <c r="AX34" s="400">
        <f>SUM(AX6:AX33)</f>
        <v>0</v>
      </c>
      <c r="AY34" s="397">
        <f>SUM(AY6:AY33)</f>
        <v>1033150051</v>
      </c>
      <c r="AZ34" s="935">
        <f t="shared" si="2"/>
        <v>405646720</v>
      </c>
      <c r="BA34" s="407">
        <f>AW34+AY34</f>
        <v>1433774913</v>
      </c>
    </row>
    <row r="35" spans="1:58" s="71" customFormat="1" thickBot="1" x14ac:dyDescent="0.35">
      <c r="A35" s="441" t="s">
        <v>55</v>
      </c>
      <c r="B35" s="184"/>
      <c r="C35" s="185"/>
      <c r="D35" s="184"/>
      <c r="E35" s="185"/>
      <c r="F35" s="432"/>
      <c r="G35" s="924"/>
      <c r="H35" s="132"/>
      <c r="I35" s="131"/>
      <c r="J35" s="922"/>
      <c r="K35" s="433"/>
      <c r="L35" s="131"/>
      <c r="M35" s="131"/>
      <c r="N35" s="132"/>
      <c r="O35" s="130"/>
      <c r="P35" s="129"/>
      <c r="Q35" s="129"/>
      <c r="R35" s="129"/>
      <c r="S35" s="129"/>
      <c r="T35" s="128"/>
      <c r="U35" s="129"/>
      <c r="V35" s="132"/>
      <c r="W35" s="131"/>
      <c r="X35" s="128"/>
      <c r="Y35" s="129"/>
      <c r="Z35" s="128"/>
      <c r="AA35" s="129"/>
      <c r="AB35" s="128"/>
      <c r="AC35" s="129"/>
      <c r="AD35" s="128"/>
      <c r="AE35" s="129"/>
      <c r="AF35" s="128"/>
      <c r="AG35" s="129"/>
      <c r="AH35" s="128"/>
      <c r="AI35" s="129"/>
      <c r="AJ35" s="128"/>
      <c r="AK35" s="129"/>
      <c r="AL35" s="184"/>
      <c r="AM35" s="185"/>
      <c r="AN35" s="132"/>
      <c r="AO35" s="130"/>
      <c r="AP35" s="90"/>
      <c r="AQ35" s="89"/>
      <c r="AR35" s="90"/>
      <c r="AS35" s="89"/>
      <c r="AT35" s="90"/>
      <c r="AU35" s="89"/>
      <c r="AV35" s="107">
        <f t="shared" si="0"/>
        <v>0</v>
      </c>
      <c r="AW35" s="107">
        <f t="shared" si="1"/>
        <v>0</v>
      </c>
      <c r="AX35" s="434"/>
      <c r="AY35" s="432"/>
      <c r="AZ35" s="270">
        <f t="shared" si="2"/>
        <v>0</v>
      </c>
      <c r="BA35" s="270"/>
    </row>
    <row r="36" spans="1:58" s="71" customFormat="1" thickBot="1" x14ac:dyDescent="0.35">
      <c r="A36" s="441" t="s">
        <v>56</v>
      </c>
      <c r="B36" s="438">
        <f t="shared" ref="B36:AH36" si="6">B34</f>
        <v>17003269</v>
      </c>
      <c r="C36" s="444">
        <f t="shared" si="6"/>
        <v>27424114</v>
      </c>
      <c r="D36" s="438">
        <f t="shared" si="6"/>
        <v>960300</v>
      </c>
      <c r="E36" s="444">
        <f t="shared" si="6"/>
        <v>1241858</v>
      </c>
      <c r="F36" s="427">
        <f t="shared" si="6"/>
        <v>0</v>
      </c>
      <c r="G36" s="925">
        <f t="shared" si="6"/>
        <v>4811103</v>
      </c>
      <c r="H36" s="132">
        <f t="shared" si="6"/>
        <v>20290996</v>
      </c>
      <c r="I36" s="131">
        <f t="shared" si="6"/>
        <v>27405019</v>
      </c>
      <c r="J36" s="923">
        <f t="shared" si="6"/>
        <v>1962650</v>
      </c>
      <c r="K36" s="428">
        <f t="shared" si="6"/>
        <v>1746532</v>
      </c>
      <c r="L36" s="131">
        <f t="shared" si="6"/>
        <v>7515918</v>
      </c>
      <c r="M36" s="131">
        <f t="shared" si="6"/>
        <v>8636937</v>
      </c>
      <c r="N36" s="132">
        <f t="shared" si="6"/>
        <v>1202692</v>
      </c>
      <c r="O36" s="130">
        <f t="shared" si="6"/>
        <v>1785067</v>
      </c>
      <c r="P36" s="131">
        <f t="shared" si="6"/>
        <v>588088</v>
      </c>
      <c r="Q36" s="131">
        <f t="shared" si="6"/>
        <v>348770</v>
      </c>
      <c r="R36" s="131">
        <f t="shared" si="6"/>
        <v>6670257</v>
      </c>
      <c r="S36" s="131">
        <f t="shared" si="6"/>
        <v>6039057</v>
      </c>
      <c r="T36" s="132">
        <f t="shared" si="6"/>
        <v>2280380</v>
      </c>
      <c r="U36" s="131">
        <f t="shared" si="6"/>
        <v>1916257</v>
      </c>
      <c r="V36" s="132">
        <f t="shared" si="6"/>
        <v>72670157</v>
      </c>
      <c r="W36" s="132">
        <f t="shared" si="6"/>
        <v>75229907</v>
      </c>
      <c r="X36" s="132">
        <v>79132299</v>
      </c>
      <c r="Y36" s="132">
        <v>80395643</v>
      </c>
      <c r="Z36" s="132">
        <f t="shared" si="6"/>
        <v>3675982</v>
      </c>
      <c r="AA36" s="131">
        <f t="shared" si="6"/>
        <v>2419290</v>
      </c>
      <c r="AB36" s="132">
        <f t="shared" si="6"/>
        <v>23616076</v>
      </c>
      <c r="AC36" s="131">
        <f t="shared" si="6"/>
        <v>16862116</v>
      </c>
      <c r="AD36" s="132">
        <f t="shared" si="6"/>
        <v>15714663</v>
      </c>
      <c r="AE36" s="131">
        <f t="shared" si="6"/>
        <v>13509060</v>
      </c>
      <c r="AF36" s="132">
        <f t="shared" si="6"/>
        <v>26393848</v>
      </c>
      <c r="AG36" s="131">
        <f t="shared" si="6"/>
        <v>32056460</v>
      </c>
      <c r="AH36" s="132">
        <f t="shared" si="6"/>
        <v>10514913</v>
      </c>
      <c r="AI36" s="131">
        <f t="shared" ref="AI36:AN36" si="7">AI34</f>
        <v>10442031</v>
      </c>
      <c r="AJ36" s="132">
        <f t="shared" si="7"/>
        <v>10088023</v>
      </c>
      <c r="AK36" s="88">
        <f t="shared" si="7"/>
        <v>13153793</v>
      </c>
      <c r="AL36" s="672">
        <f t="shared" si="7"/>
        <v>0</v>
      </c>
      <c r="AM36" s="933">
        <f t="shared" si="7"/>
        <v>0</v>
      </c>
      <c r="AN36" s="132">
        <f t="shared" si="7"/>
        <v>92524379</v>
      </c>
      <c r="AO36" s="130">
        <f t="shared" ref="AO36:AU36" si="8">AO34</f>
        <v>60952978</v>
      </c>
      <c r="AP36" s="936">
        <f t="shared" si="8"/>
        <v>1807169</v>
      </c>
      <c r="AQ36" s="937">
        <f t="shared" si="8"/>
        <v>2454464</v>
      </c>
      <c r="AR36" s="936">
        <f t="shared" si="8"/>
        <v>5155666</v>
      </c>
      <c r="AS36" s="937">
        <f t="shared" si="8"/>
        <v>3995450</v>
      </c>
      <c r="AT36" s="936">
        <f t="shared" si="8"/>
        <v>10390835</v>
      </c>
      <c r="AU36" s="937">
        <f t="shared" si="8"/>
        <v>10722598</v>
      </c>
      <c r="AV36" s="107">
        <f t="shared" si="0"/>
        <v>410158560</v>
      </c>
      <c r="AW36" s="107">
        <f t="shared" si="1"/>
        <v>403548504</v>
      </c>
      <c r="AX36" s="435">
        <f>AX34</f>
        <v>0</v>
      </c>
      <c r="AY36" s="427">
        <f>AY34</f>
        <v>1033150051</v>
      </c>
      <c r="AZ36" s="935">
        <f t="shared" si="2"/>
        <v>410158560</v>
      </c>
      <c r="BA36" s="938">
        <f>AW36+AY36</f>
        <v>1436698555</v>
      </c>
    </row>
    <row r="37" spans="1:58" s="71" customFormat="1" thickBot="1" x14ac:dyDescent="0.35">
      <c r="A37" s="442" t="s">
        <v>57</v>
      </c>
      <c r="B37" s="437"/>
      <c r="C37" s="443"/>
      <c r="D37" s="437"/>
      <c r="E37" s="443"/>
      <c r="F37" s="432"/>
      <c r="G37" s="924"/>
      <c r="H37" s="90"/>
      <c r="I37" s="88"/>
      <c r="J37" s="922"/>
      <c r="K37" s="433"/>
      <c r="L37" s="88"/>
      <c r="M37" s="88"/>
      <c r="N37" s="90"/>
      <c r="O37" s="89"/>
      <c r="P37" s="109"/>
      <c r="Q37" s="109"/>
      <c r="R37" s="109"/>
      <c r="S37" s="109"/>
      <c r="T37" s="108"/>
      <c r="U37" s="109"/>
      <c r="V37" s="90"/>
      <c r="W37" s="88"/>
      <c r="X37" s="108"/>
      <c r="Y37" s="109"/>
      <c r="Z37" s="108"/>
      <c r="AA37" s="109"/>
      <c r="AB37" s="108"/>
      <c r="AC37" s="109"/>
      <c r="AD37" s="108"/>
      <c r="AE37" s="109"/>
      <c r="AF37" s="108"/>
      <c r="AG37" s="109"/>
      <c r="AH37" s="108"/>
      <c r="AI37" s="109"/>
      <c r="AJ37" s="108"/>
      <c r="AK37" s="932"/>
      <c r="AL37" s="934"/>
      <c r="AM37" s="269"/>
      <c r="AN37" s="90"/>
      <c r="AO37" s="89"/>
      <c r="AP37" s="90"/>
      <c r="AQ37" s="89"/>
      <c r="AR37" s="90"/>
      <c r="AS37" s="89"/>
      <c r="AT37" s="90"/>
      <c r="AU37" s="89"/>
      <c r="AV37" s="107">
        <f t="shared" si="0"/>
        <v>0</v>
      </c>
      <c r="AW37" s="107">
        <f t="shared" si="1"/>
        <v>0</v>
      </c>
      <c r="AX37" s="434"/>
      <c r="AY37" s="432"/>
      <c r="AZ37" s="270">
        <f t="shared" si="2"/>
        <v>0</v>
      </c>
      <c r="BA37" s="270"/>
    </row>
    <row r="38" spans="1:58" s="408" customFormat="1" thickBot="1" x14ac:dyDescent="0.35">
      <c r="A38" s="440" t="s">
        <v>54</v>
      </c>
      <c r="B38" s="439">
        <f t="shared" ref="B38:AG38" si="9">B36</f>
        <v>17003269</v>
      </c>
      <c r="C38" s="445">
        <f t="shared" si="9"/>
        <v>27424114</v>
      </c>
      <c r="D38" s="439">
        <f t="shared" si="9"/>
        <v>960300</v>
      </c>
      <c r="E38" s="445">
        <f t="shared" si="9"/>
        <v>1241858</v>
      </c>
      <c r="F38" s="430">
        <f t="shared" si="9"/>
        <v>0</v>
      </c>
      <c r="G38" s="926">
        <f t="shared" si="9"/>
        <v>4811103</v>
      </c>
      <c r="H38" s="413">
        <f t="shared" si="9"/>
        <v>20290996</v>
      </c>
      <c r="I38" s="412">
        <f t="shared" si="9"/>
        <v>27405019</v>
      </c>
      <c r="J38" s="429">
        <f t="shared" si="9"/>
        <v>1962650</v>
      </c>
      <c r="K38" s="431">
        <f t="shared" si="9"/>
        <v>1746532</v>
      </c>
      <c r="L38" s="412">
        <f t="shared" si="9"/>
        <v>7515918</v>
      </c>
      <c r="M38" s="412">
        <f t="shared" si="9"/>
        <v>8636937</v>
      </c>
      <c r="N38" s="413">
        <f t="shared" si="9"/>
        <v>1202692</v>
      </c>
      <c r="O38" s="411">
        <f t="shared" si="9"/>
        <v>1785067</v>
      </c>
      <c r="P38" s="410">
        <f t="shared" si="9"/>
        <v>588088</v>
      </c>
      <c r="Q38" s="410">
        <f t="shared" si="9"/>
        <v>348770</v>
      </c>
      <c r="R38" s="410">
        <f t="shared" si="9"/>
        <v>6670257</v>
      </c>
      <c r="S38" s="410">
        <f t="shared" si="9"/>
        <v>6039057</v>
      </c>
      <c r="T38" s="409">
        <f t="shared" si="9"/>
        <v>2280380</v>
      </c>
      <c r="U38" s="410">
        <f t="shared" si="9"/>
        <v>1916257</v>
      </c>
      <c r="V38" s="413">
        <f t="shared" si="9"/>
        <v>72670157</v>
      </c>
      <c r="W38" s="412">
        <f t="shared" si="9"/>
        <v>75229907</v>
      </c>
      <c r="X38" s="409">
        <f>X36</f>
        <v>79132299</v>
      </c>
      <c r="Y38" s="410">
        <f t="shared" si="9"/>
        <v>80395643</v>
      </c>
      <c r="Z38" s="409">
        <f t="shared" si="9"/>
        <v>3675982</v>
      </c>
      <c r="AA38" s="410">
        <f t="shared" si="9"/>
        <v>2419290</v>
      </c>
      <c r="AB38" s="409">
        <f t="shared" si="9"/>
        <v>23616076</v>
      </c>
      <c r="AC38" s="410">
        <f t="shared" si="9"/>
        <v>16862116</v>
      </c>
      <c r="AD38" s="409">
        <f t="shared" si="9"/>
        <v>15714663</v>
      </c>
      <c r="AE38" s="410">
        <f t="shared" si="9"/>
        <v>13509060</v>
      </c>
      <c r="AF38" s="409">
        <f t="shared" si="9"/>
        <v>26393848</v>
      </c>
      <c r="AG38" s="410">
        <f t="shared" si="9"/>
        <v>32056460</v>
      </c>
      <c r="AH38" s="409">
        <f t="shared" ref="AH38:AU38" si="10">AH36</f>
        <v>10514913</v>
      </c>
      <c r="AI38" s="410">
        <f t="shared" si="10"/>
        <v>10442031</v>
      </c>
      <c r="AJ38" s="409">
        <f t="shared" si="10"/>
        <v>10088023</v>
      </c>
      <c r="AK38" s="409">
        <f t="shared" si="10"/>
        <v>13153793</v>
      </c>
      <c r="AL38" s="414">
        <f t="shared" si="10"/>
        <v>0</v>
      </c>
      <c r="AM38" s="415">
        <f t="shared" si="10"/>
        <v>0</v>
      </c>
      <c r="AN38" s="413">
        <f t="shared" si="10"/>
        <v>92524379</v>
      </c>
      <c r="AO38" s="411">
        <f t="shared" si="10"/>
        <v>60952978</v>
      </c>
      <c r="AP38" s="413">
        <f t="shared" si="10"/>
        <v>1807169</v>
      </c>
      <c r="AQ38" s="411">
        <f t="shared" si="10"/>
        <v>2454464</v>
      </c>
      <c r="AR38" s="413">
        <f t="shared" si="10"/>
        <v>5155666</v>
      </c>
      <c r="AS38" s="411">
        <f t="shared" si="10"/>
        <v>3995450</v>
      </c>
      <c r="AT38" s="413">
        <f t="shared" si="10"/>
        <v>10390835</v>
      </c>
      <c r="AU38" s="411">
        <f t="shared" si="10"/>
        <v>10722598</v>
      </c>
      <c r="AV38" s="107">
        <f t="shared" si="0"/>
        <v>410158560</v>
      </c>
      <c r="AW38" s="107">
        <f t="shared" si="1"/>
        <v>403548504</v>
      </c>
      <c r="AX38" s="436">
        <f>AX36</f>
        <v>0</v>
      </c>
      <c r="AY38" s="430">
        <f>AY36</f>
        <v>1033150051</v>
      </c>
      <c r="AZ38" s="935">
        <f t="shared" si="2"/>
        <v>410158560</v>
      </c>
      <c r="BA38" s="407">
        <f>AW38+AY38</f>
        <v>1436698555</v>
      </c>
      <c r="BE38" s="405">
        <f>BA38-BA11</f>
        <v>919953536</v>
      </c>
      <c r="BF38" s="405" t="e">
        <f>#REF!-#REF!</f>
        <v>#REF!</v>
      </c>
    </row>
    <row r="39" spans="1:58" s="71" customFormat="1" ht="14.25" x14ac:dyDescent="0.3">
      <c r="A39" s="60"/>
      <c r="V39" s="133"/>
      <c r="W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</row>
  </sheetData>
  <mergeCells count="29">
    <mergeCell ref="AZ3:BA3"/>
    <mergeCell ref="AN3:AO3"/>
    <mergeCell ref="AP3:AQ3"/>
    <mergeCell ref="AR3:AS3"/>
    <mergeCell ref="AT3:AU3"/>
    <mergeCell ref="AV3:AW3"/>
    <mergeCell ref="AX3:AY3"/>
    <mergeCell ref="AB3:AC3"/>
    <mergeCell ref="AD3:AE3"/>
    <mergeCell ref="AF3:AG3"/>
    <mergeCell ref="AH3:AI3"/>
    <mergeCell ref="AJ3:AK3"/>
    <mergeCell ref="AL3:AM3"/>
    <mergeCell ref="N3:O3"/>
    <mergeCell ref="R3:S3"/>
    <mergeCell ref="T3:U3"/>
    <mergeCell ref="V3:W3"/>
    <mergeCell ref="X3:Y3"/>
    <mergeCell ref="Z3:AA3"/>
    <mergeCell ref="A1:AZ1"/>
    <mergeCell ref="A2:AZ2"/>
    <mergeCell ref="A3:A4"/>
    <mergeCell ref="P3:Q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BA14"/>
  <sheetViews>
    <sheetView workbookViewId="0">
      <pane xSplit="1" topLeftCell="T1" activePane="topRight" state="frozen"/>
      <selection pane="topRight" activeCell="AS7" sqref="AS7"/>
    </sheetView>
  </sheetViews>
  <sheetFormatPr defaultRowHeight="16.5" x14ac:dyDescent="0.3"/>
  <cols>
    <col min="1" max="1" width="20.28515625" style="67" customWidth="1"/>
    <col min="2" max="2" width="10.28515625" style="67" bestFit="1" customWidth="1"/>
    <col min="3" max="3" width="10.28515625" style="67" customWidth="1"/>
    <col min="4" max="5" width="10.42578125" style="67" customWidth="1"/>
    <col min="6" max="7" width="11.42578125" style="67" customWidth="1"/>
    <col min="8" max="8" width="11.5703125" style="67" bestFit="1" customWidth="1"/>
    <col min="9" max="9" width="11.7109375" style="67" customWidth="1"/>
    <col min="10" max="11" width="10.7109375" style="67" customWidth="1"/>
    <col min="12" max="12" width="10.28515625" style="67" bestFit="1" customWidth="1"/>
    <col min="13" max="13" width="10.28515625" style="67" customWidth="1"/>
    <col min="14" max="14" width="10.28515625" style="67" bestFit="1" customWidth="1"/>
    <col min="15" max="15" width="10.28515625" style="67" customWidth="1"/>
    <col min="16" max="16" width="11.5703125" style="67" bestFit="1" customWidth="1"/>
    <col min="17" max="17" width="11.5703125" style="67" customWidth="1"/>
    <col min="18" max="19" width="10.140625" style="67" customWidth="1"/>
    <col min="20" max="20" width="10.42578125" style="67" bestFit="1" customWidth="1"/>
    <col min="21" max="21" width="10.5703125" style="67" customWidth="1"/>
    <col min="22" max="24" width="11.5703125" style="67" bestFit="1" customWidth="1"/>
    <col min="25" max="25" width="11.5703125" style="67" customWidth="1"/>
    <col min="26" max="26" width="10.28515625" style="67" bestFit="1" customWidth="1"/>
    <col min="27" max="27" width="10.28515625" style="67" customWidth="1"/>
    <col min="28" max="28" width="10.28515625" style="67" bestFit="1" customWidth="1"/>
    <col min="29" max="29" width="10.28515625" style="67" customWidth="1"/>
    <col min="30" max="30" width="11.5703125" style="67" bestFit="1" customWidth="1"/>
    <col min="31" max="31" width="11.5703125" style="67" customWidth="1"/>
    <col min="32" max="32" width="10.28515625" style="67" bestFit="1" customWidth="1"/>
    <col min="33" max="33" width="10.28515625" style="67" customWidth="1"/>
    <col min="34" max="35" width="10.140625" style="67" customWidth="1"/>
    <col min="36" max="36" width="10.28515625" style="67" bestFit="1" customWidth="1"/>
    <col min="37" max="39" width="10.28515625" style="67" customWidth="1"/>
    <col min="40" max="40" width="11.5703125" style="67" bestFit="1" customWidth="1"/>
    <col min="41" max="41" width="11.5703125" style="67" customWidth="1"/>
    <col min="42" max="43" width="10.140625" style="67" customWidth="1"/>
    <col min="44" max="44" width="10.28515625" style="67" bestFit="1" customWidth="1"/>
    <col min="45" max="45" width="10.28515625" style="67" customWidth="1"/>
    <col min="46" max="47" width="10.140625" style="67" customWidth="1"/>
    <col min="48" max="49" width="13.7109375" style="67" customWidth="1"/>
    <col min="50" max="50" width="13.28515625" style="67" customWidth="1"/>
    <col min="51" max="51" width="13.5703125" style="67" customWidth="1"/>
    <col min="52" max="52" width="13.5703125" style="43" customWidth="1"/>
    <col min="53" max="53" width="14.140625" style="67" customWidth="1"/>
    <col min="54" max="16384" width="9.140625" style="67"/>
  </cols>
  <sheetData>
    <row r="1" spans="1:53" s="322" customFormat="1" ht="17.25" thickBot="1" x14ac:dyDescent="0.4">
      <c r="A1" s="1266" t="s">
        <v>242</v>
      </c>
      <c r="B1" s="1266"/>
      <c r="C1" s="1266"/>
      <c r="D1" s="1266"/>
      <c r="E1" s="1266"/>
      <c r="F1" s="1266"/>
      <c r="G1" s="1266"/>
      <c r="H1" s="1266"/>
      <c r="I1" s="1266"/>
      <c r="J1" s="1266"/>
      <c r="K1" s="1266"/>
      <c r="L1" s="1266"/>
      <c r="M1" s="1266"/>
      <c r="N1" s="1266"/>
      <c r="O1" s="1266"/>
      <c r="P1" s="1266"/>
      <c r="Q1" s="1266"/>
      <c r="R1" s="1266"/>
      <c r="S1" s="1266"/>
      <c r="T1" s="1266"/>
      <c r="U1" s="1266"/>
      <c r="V1" s="1266"/>
      <c r="W1" s="1266"/>
      <c r="X1" s="1266"/>
      <c r="Y1" s="1266"/>
      <c r="Z1" s="1266"/>
      <c r="AA1" s="1266"/>
      <c r="AB1" s="1266"/>
      <c r="AC1" s="1266"/>
      <c r="AD1" s="1266"/>
      <c r="AE1" s="1266"/>
      <c r="AF1" s="1266"/>
      <c r="AG1" s="1266"/>
      <c r="AH1" s="1266"/>
      <c r="AI1" s="1266"/>
      <c r="AJ1" s="1266"/>
      <c r="AK1" s="1266"/>
      <c r="AL1" s="1266"/>
      <c r="AM1" s="1266"/>
      <c r="AN1" s="1266"/>
      <c r="AO1" s="1266"/>
      <c r="AP1" s="1266"/>
      <c r="AQ1" s="1266"/>
      <c r="AR1" s="1266"/>
      <c r="AS1" s="1266"/>
      <c r="AT1" s="1266"/>
      <c r="AU1" s="1266"/>
      <c r="AV1" s="1266"/>
      <c r="AW1" s="1266"/>
      <c r="AX1" s="1266"/>
      <c r="AY1" s="1266"/>
      <c r="AZ1" s="1266"/>
    </row>
    <row r="2" spans="1:53" ht="69" customHeight="1" thickBot="1" x14ac:dyDescent="0.35">
      <c r="A2" s="1265" t="s">
        <v>0</v>
      </c>
      <c r="B2" s="1182" t="s">
        <v>153</v>
      </c>
      <c r="C2" s="1183"/>
      <c r="D2" s="1177" t="s">
        <v>154</v>
      </c>
      <c r="E2" s="1178"/>
      <c r="F2" s="1177" t="s">
        <v>155</v>
      </c>
      <c r="G2" s="1178"/>
      <c r="H2" s="1177" t="s">
        <v>156</v>
      </c>
      <c r="I2" s="1178"/>
      <c r="J2" s="1267" t="s">
        <v>157</v>
      </c>
      <c r="K2" s="1268"/>
      <c r="L2" s="1267" t="s">
        <v>158</v>
      </c>
      <c r="M2" s="1268"/>
      <c r="N2" s="1177" t="s">
        <v>291</v>
      </c>
      <c r="O2" s="1178"/>
      <c r="P2" s="1177" t="s">
        <v>159</v>
      </c>
      <c r="Q2" s="1178"/>
      <c r="R2" s="1177" t="s">
        <v>160</v>
      </c>
      <c r="S2" s="1178"/>
      <c r="T2" s="1269" t="s">
        <v>161</v>
      </c>
      <c r="U2" s="1268"/>
      <c r="V2" s="1177" t="s">
        <v>162</v>
      </c>
      <c r="W2" s="1178"/>
      <c r="X2" s="1177" t="s">
        <v>163</v>
      </c>
      <c r="Y2" s="1178"/>
      <c r="Z2" s="1177" t="s">
        <v>164</v>
      </c>
      <c r="AA2" s="1178"/>
      <c r="AB2" s="1177" t="s">
        <v>165</v>
      </c>
      <c r="AC2" s="1178"/>
      <c r="AD2" s="1177" t="s">
        <v>166</v>
      </c>
      <c r="AE2" s="1178"/>
      <c r="AF2" s="1177" t="s">
        <v>167</v>
      </c>
      <c r="AG2" s="1178"/>
      <c r="AH2" s="1177" t="s">
        <v>168</v>
      </c>
      <c r="AI2" s="1178"/>
      <c r="AJ2" s="1177" t="s">
        <v>169</v>
      </c>
      <c r="AK2" s="1178"/>
      <c r="AL2" s="1177" t="s">
        <v>170</v>
      </c>
      <c r="AM2" s="1178"/>
      <c r="AN2" s="1177" t="s">
        <v>171</v>
      </c>
      <c r="AO2" s="1178"/>
      <c r="AP2" s="1177" t="s">
        <v>172</v>
      </c>
      <c r="AQ2" s="1178"/>
      <c r="AR2" s="1177" t="s">
        <v>173</v>
      </c>
      <c r="AS2" s="1178"/>
      <c r="AT2" s="1177" t="s">
        <v>174</v>
      </c>
      <c r="AU2" s="1178"/>
      <c r="AV2" s="1177" t="s">
        <v>1</v>
      </c>
      <c r="AW2" s="1178"/>
      <c r="AX2" s="1177" t="s">
        <v>175</v>
      </c>
      <c r="AY2" s="1178"/>
      <c r="AZ2" s="1260" t="s">
        <v>2</v>
      </c>
      <c r="BA2" s="1264"/>
    </row>
    <row r="3" spans="1:53" s="364" customFormat="1" ht="36.75" customHeight="1" thickBot="1" x14ac:dyDescent="0.35">
      <c r="A3" s="1265"/>
      <c r="B3" s="447" t="s">
        <v>280</v>
      </c>
      <c r="C3" s="447" t="s">
        <v>296</v>
      </c>
      <c r="D3" s="447" t="s">
        <v>280</v>
      </c>
      <c r="E3" s="447" t="s">
        <v>296</v>
      </c>
      <c r="F3" s="447" t="s">
        <v>280</v>
      </c>
      <c r="G3" s="447" t="s">
        <v>296</v>
      </c>
      <c r="H3" s="447" t="s">
        <v>280</v>
      </c>
      <c r="I3" s="447" t="s">
        <v>296</v>
      </c>
      <c r="J3" s="447" t="s">
        <v>280</v>
      </c>
      <c r="K3" s="447" t="s">
        <v>296</v>
      </c>
      <c r="L3" s="447" t="s">
        <v>280</v>
      </c>
      <c r="M3" s="447" t="s">
        <v>296</v>
      </c>
      <c r="N3" s="447" t="s">
        <v>280</v>
      </c>
      <c r="O3" s="447" t="s">
        <v>296</v>
      </c>
      <c r="P3" s="447" t="s">
        <v>280</v>
      </c>
      <c r="Q3" s="447" t="s">
        <v>296</v>
      </c>
      <c r="R3" s="447" t="s">
        <v>280</v>
      </c>
      <c r="S3" s="447" t="s">
        <v>296</v>
      </c>
      <c r="T3" s="447" t="s">
        <v>280</v>
      </c>
      <c r="U3" s="447" t="s">
        <v>296</v>
      </c>
      <c r="V3" s="447" t="s">
        <v>280</v>
      </c>
      <c r="W3" s="447" t="s">
        <v>296</v>
      </c>
      <c r="X3" s="447" t="s">
        <v>280</v>
      </c>
      <c r="Y3" s="447" t="s">
        <v>296</v>
      </c>
      <c r="Z3" s="447" t="s">
        <v>280</v>
      </c>
      <c r="AA3" s="447" t="s">
        <v>296</v>
      </c>
      <c r="AB3" s="447" t="s">
        <v>280</v>
      </c>
      <c r="AC3" s="447" t="s">
        <v>296</v>
      </c>
      <c r="AD3" s="447" t="s">
        <v>280</v>
      </c>
      <c r="AE3" s="447" t="s">
        <v>296</v>
      </c>
      <c r="AF3" s="447" t="s">
        <v>280</v>
      </c>
      <c r="AG3" s="447" t="s">
        <v>296</v>
      </c>
      <c r="AH3" s="447" t="s">
        <v>280</v>
      </c>
      <c r="AI3" s="447" t="s">
        <v>296</v>
      </c>
      <c r="AJ3" s="447" t="s">
        <v>280</v>
      </c>
      <c r="AK3" s="447" t="s">
        <v>296</v>
      </c>
      <c r="AL3" s="447" t="s">
        <v>280</v>
      </c>
      <c r="AM3" s="447" t="s">
        <v>296</v>
      </c>
      <c r="AN3" s="447" t="s">
        <v>280</v>
      </c>
      <c r="AO3" s="447" t="s">
        <v>296</v>
      </c>
      <c r="AP3" s="447" t="s">
        <v>280</v>
      </c>
      <c r="AQ3" s="447" t="s">
        <v>296</v>
      </c>
      <c r="AR3" s="447" t="s">
        <v>280</v>
      </c>
      <c r="AS3" s="447" t="s">
        <v>296</v>
      </c>
      <c r="AT3" s="447" t="s">
        <v>280</v>
      </c>
      <c r="AU3" s="447" t="s">
        <v>296</v>
      </c>
      <c r="AV3" s="447" t="s">
        <v>280</v>
      </c>
      <c r="AW3" s="447" t="s">
        <v>296</v>
      </c>
      <c r="AX3" s="447" t="s">
        <v>280</v>
      </c>
      <c r="AY3" s="447" t="s">
        <v>296</v>
      </c>
      <c r="AZ3" s="447" t="s">
        <v>280</v>
      </c>
      <c r="BA3" s="447" t="s">
        <v>296</v>
      </c>
    </row>
    <row r="4" spans="1:53" x14ac:dyDescent="0.3">
      <c r="A4" s="575" t="s">
        <v>229</v>
      </c>
      <c r="B4" s="573"/>
      <c r="C4" s="574"/>
      <c r="D4" s="569"/>
      <c r="E4" s="569"/>
      <c r="F4" s="569">
        <v>0</v>
      </c>
      <c r="G4" s="569">
        <v>0</v>
      </c>
      <c r="H4" s="569"/>
      <c r="I4" s="569"/>
      <c r="J4" s="569"/>
      <c r="K4" s="569"/>
      <c r="L4" s="569"/>
      <c r="M4" s="569"/>
      <c r="N4" s="563"/>
      <c r="O4" s="563"/>
      <c r="P4" s="563"/>
      <c r="Q4" s="563"/>
      <c r="R4" s="1168">
        <v>0</v>
      </c>
      <c r="S4" s="564">
        <v>0</v>
      </c>
      <c r="T4" s="1166">
        <v>0</v>
      </c>
      <c r="U4" s="1167">
        <v>0</v>
      </c>
      <c r="V4" s="563"/>
      <c r="W4" s="563"/>
      <c r="X4" s="563"/>
      <c r="Y4" s="563"/>
      <c r="Z4" s="563"/>
      <c r="AA4" s="563"/>
      <c r="AB4" s="563"/>
      <c r="AC4" s="563"/>
      <c r="AD4" s="563"/>
      <c r="AE4" s="563"/>
      <c r="AF4" s="563"/>
      <c r="AG4" s="563"/>
      <c r="AH4" s="563">
        <v>0</v>
      </c>
      <c r="AI4" s="563">
        <v>0</v>
      </c>
      <c r="AJ4" s="563"/>
      <c r="AK4" s="563"/>
      <c r="AL4" s="563"/>
      <c r="AM4" s="563"/>
      <c r="AN4" s="563"/>
      <c r="AO4" s="563"/>
      <c r="AP4" s="563"/>
      <c r="AQ4" s="563"/>
      <c r="AR4" s="563"/>
      <c r="AS4" s="563"/>
      <c r="AT4" s="563"/>
      <c r="AU4" s="564"/>
      <c r="AV4" s="577">
        <f>SUM(B4+D4+F4+H4+J4+L4+N4+P4+R4+T4+V4+X4+Z4+AB4+AD4+AF4+AH4+AJ4+AL4+AN4+AP4+AR4+AT4)</f>
        <v>0</v>
      </c>
      <c r="AW4" s="578">
        <f>SUM(C4+E4+G4+I4+K4+M4+O4+Q4+S4+U4+W4+Y4+AA4+AC4+AE4+AG4+AI4+AK4+AM4+AO4+AQ4+AS4+AU4)</f>
        <v>0</v>
      </c>
      <c r="AX4" s="563"/>
      <c r="AY4" s="564"/>
      <c r="AZ4" s="577">
        <f>AV4+AX4</f>
        <v>0</v>
      </c>
      <c r="BA4" s="578">
        <f>AW4+AY4</f>
        <v>0</v>
      </c>
    </row>
    <row r="5" spans="1:53" x14ac:dyDescent="0.3">
      <c r="A5" s="424" t="s">
        <v>230</v>
      </c>
      <c r="B5" s="570">
        <v>682920</v>
      </c>
      <c r="C5" s="571"/>
      <c r="D5" s="561"/>
      <c r="E5" s="561"/>
      <c r="F5" s="561"/>
      <c r="G5" s="561"/>
      <c r="H5" s="561"/>
      <c r="I5" s="561"/>
      <c r="J5" s="561"/>
      <c r="K5" s="561"/>
      <c r="L5" s="561"/>
      <c r="M5" s="561"/>
      <c r="N5" s="561"/>
      <c r="O5" s="561"/>
      <c r="P5" s="561"/>
      <c r="Q5" s="561"/>
      <c r="R5" s="562"/>
      <c r="S5" s="565"/>
      <c r="T5" s="570"/>
      <c r="U5" s="571"/>
      <c r="V5" s="561"/>
      <c r="W5" s="561"/>
      <c r="X5" s="561"/>
      <c r="Y5" s="561"/>
      <c r="Z5" s="561"/>
      <c r="AA5" s="561"/>
      <c r="AB5" s="561"/>
      <c r="AC5" s="561"/>
      <c r="AD5" s="561"/>
      <c r="AE5" s="561"/>
      <c r="AF5" s="561">
        <v>258784</v>
      </c>
      <c r="AG5" s="561">
        <f>AF5</f>
        <v>258784</v>
      </c>
      <c r="AH5" s="561"/>
      <c r="AI5" s="561"/>
      <c r="AJ5" s="561"/>
      <c r="AK5" s="561"/>
      <c r="AL5" s="561"/>
      <c r="AM5" s="561"/>
      <c r="AN5" s="561"/>
      <c r="AO5" s="561"/>
      <c r="AP5" s="561"/>
      <c r="AQ5" s="561"/>
      <c r="AR5" s="561"/>
      <c r="AS5" s="561"/>
      <c r="AT5" s="561"/>
      <c r="AU5" s="565"/>
      <c r="AV5" s="570">
        <f t="shared" ref="AV5:AV14" si="0">SUM(B5+D5+F5+H5+J5+L5+N5+P5+R5+T5+V5+X5+Z5+AB5+AD5+AF5+AH5+AJ5+AL5+AN5+AP5+AR5+AT5)</f>
        <v>941704</v>
      </c>
      <c r="AW5" s="571">
        <f t="shared" ref="AW5:AW14" si="1">SUM(C5+E5+G5+I5+K5+M5+O5+Q5+S5+U5+W5+Y5+AA5+AC5+AE5+AG5+AI5+AK5+AM5+AO5+AQ5+AS5+AU5)</f>
        <v>258784</v>
      </c>
      <c r="AX5" s="561"/>
      <c r="AY5" s="565"/>
      <c r="AZ5" s="570">
        <f t="shared" ref="AZ5:AZ14" si="2">AV5+AX5</f>
        <v>941704</v>
      </c>
      <c r="BA5" s="571">
        <f t="shared" ref="BA5:BA14" si="3">AW5+AY5</f>
        <v>258784</v>
      </c>
    </row>
    <row r="6" spans="1:53" x14ac:dyDescent="0.3">
      <c r="A6" s="424" t="s">
        <v>231</v>
      </c>
      <c r="B6" s="570">
        <v>2000028</v>
      </c>
      <c r="C6" s="571"/>
      <c r="D6" s="566">
        <v>7070805</v>
      </c>
      <c r="E6" s="566">
        <v>8763705</v>
      </c>
      <c r="F6" s="561"/>
      <c r="G6" s="561"/>
      <c r="H6" s="561">
        <v>10599550</v>
      </c>
      <c r="I6" s="561">
        <v>10599550</v>
      </c>
      <c r="J6" s="561">
        <v>2074442</v>
      </c>
      <c r="K6" s="561">
        <f>J6</f>
        <v>2074442</v>
      </c>
      <c r="L6" s="561">
        <v>1250000</v>
      </c>
      <c r="M6" s="561">
        <f>L6</f>
        <v>1250000</v>
      </c>
      <c r="N6" s="561">
        <v>8329217</v>
      </c>
      <c r="O6" s="561">
        <f>N6</f>
        <v>8329217</v>
      </c>
      <c r="P6" s="561">
        <v>16848478</v>
      </c>
      <c r="Q6" s="561">
        <f>P6</f>
        <v>16848478</v>
      </c>
      <c r="R6" s="562"/>
      <c r="S6" s="565"/>
      <c r="T6" s="570"/>
      <c r="U6" s="571"/>
      <c r="V6" s="561">
        <v>3710120</v>
      </c>
      <c r="W6" s="561">
        <v>4144166</v>
      </c>
      <c r="X6" s="561">
        <v>34284090</v>
      </c>
      <c r="Y6" s="561"/>
      <c r="Z6" s="561"/>
      <c r="AA6" s="561"/>
      <c r="AB6" s="561">
        <v>2700000</v>
      </c>
      <c r="AC6" s="561">
        <f>AB6</f>
        <v>2700000</v>
      </c>
      <c r="AD6" s="561">
        <v>520363</v>
      </c>
      <c r="AE6" s="561">
        <f>AD6</f>
        <v>520363</v>
      </c>
      <c r="AF6" s="561">
        <v>680913</v>
      </c>
      <c r="AG6" s="561">
        <f>AF6</f>
        <v>680913</v>
      </c>
      <c r="AH6" s="561"/>
      <c r="AI6" s="561"/>
      <c r="AJ6" s="561">
        <v>3031592</v>
      </c>
      <c r="AK6" s="561">
        <f>AJ6</f>
        <v>3031592</v>
      </c>
      <c r="AL6" s="561"/>
      <c r="AM6" s="561"/>
      <c r="AN6" s="561"/>
      <c r="AO6" s="561">
        <v>27241</v>
      </c>
      <c r="AP6" s="561">
        <v>9555</v>
      </c>
      <c r="AQ6" s="561">
        <v>11974</v>
      </c>
      <c r="AR6" s="561">
        <v>2686056</v>
      </c>
      <c r="AS6" s="561">
        <f>AR6</f>
        <v>2686056</v>
      </c>
      <c r="AT6" s="561"/>
      <c r="AU6" s="565"/>
      <c r="AV6" s="570">
        <f t="shared" si="0"/>
        <v>95795209</v>
      </c>
      <c r="AW6" s="571">
        <f t="shared" si="1"/>
        <v>61667697</v>
      </c>
      <c r="AX6" s="561"/>
      <c r="AY6" s="565"/>
      <c r="AZ6" s="570">
        <f t="shared" si="2"/>
        <v>95795209</v>
      </c>
      <c r="BA6" s="571">
        <f t="shared" si="3"/>
        <v>61667697</v>
      </c>
    </row>
    <row r="7" spans="1:53" x14ac:dyDescent="0.3">
      <c r="A7" s="424" t="s">
        <v>232</v>
      </c>
      <c r="B7" s="570"/>
      <c r="C7" s="571"/>
      <c r="D7" s="566"/>
      <c r="E7" s="566"/>
      <c r="F7" s="561"/>
      <c r="G7" s="561"/>
      <c r="H7" s="561">
        <v>403626</v>
      </c>
      <c r="I7" s="561">
        <v>476529</v>
      </c>
      <c r="J7" s="561">
        <v>47862</v>
      </c>
      <c r="K7" s="561">
        <v>46666</v>
      </c>
      <c r="L7" s="561"/>
      <c r="M7" s="561"/>
      <c r="N7" s="561"/>
      <c r="O7" s="561"/>
      <c r="P7" s="561"/>
      <c r="Q7" s="561"/>
      <c r="R7" s="562"/>
      <c r="S7" s="565"/>
      <c r="T7" s="570"/>
      <c r="U7" s="571"/>
      <c r="V7" s="561"/>
      <c r="W7" s="561"/>
      <c r="X7" s="561">
        <v>233264</v>
      </c>
      <c r="Y7" s="561"/>
      <c r="Z7" s="561"/>
      <c r="AA7" s="561"/>
      <c r="AB7" s="561"/>
      <c r="AC7" s="561"/>
      <c r="AD7" s="561"/>
      <c r="AE7" s="561"/>
      <c r="AF7" s="561"/>
      <c r="AG7" s="561"/>
      <c r="AH7" s="561"/>
      <c r="AI7" s="561">
        <v>44386</v>
      </c>
      <c r="AJ7" s="561"/>
      <c r="AK7" s="561"/>
      <c r="AL7" s="561"/>
      <c r="AM7" s="561"/>
      <c r="AN7" s="561"/>
      <c r="AO7" s="561"/>
      <c r="AP7" s="561"/>
      <c r="AQ7" s="561"/>
      <c r="AR7" s="561"/>
      <c r="AS7" s="561"/>
      <c r="AT7" s="561">
        <v>259637</v>
      </c>
      <c r="AU7" s="565"/>
      <c r="AV7" s="570">
        <f t="shared" si="0"/>
        <v>944389</v>
      </c>
      <c r="AW7" s="571">
        <f t="shared" si="1"/>
        <v>567581</v>
      </c>
      <c r="AX7" s="561">
        <v>93333927</v>
      </c>
      <c r="AY7" s="565"/>
      <c r="AZ7" s="570">
        <f t="shared" si="2"/>
        <v>94278316</v>
      </c>
      <c r="BA7" s="571">
        <f t="shared" si="3"/>
        <v>567581</v>
      </c>
    </row>
    <row r="8" spans="1:53" x14ac:dyDescent="0.3">
      <c r="A8" s="424" t="s">
        <v>233</v>
      </c>
      <c r="B8" s="570"/>
      <c r="C8" s="571"/>
      <c r="D8" s="566"/>
      <c r="E8" s="566"/>
      <c r="F8" s="561"/>
      <c r="G8" s="561"/>
      <c r="H8" s="561"/>
      <c r="I8" s="561"/>
      <c r="J8" s="561"/>
      <c r="K8" s="561"/>
      <c r="L8" s="561"/>
      <c r="M8" s="561"/>
      <c r="N8" s="561"/>
      <c r="O8" s="561"/>
      <c r="P8" s="561"/>
      <c r="Q8" s="561">
        <v>34144</v>
      </c>
      <c r="R8" s="562"/>
      <c r="S8" s="565"/>
      <c r="T8" s="570"/>
      <c r="U8" s="571"/>
      <c r="V8" s="561"/>
      <c r="W8" s="561"/>
      <c r="X8" s="561"/>
      <c r="Y8" s="561"/>
      <c r="Z8" s="561"/>
      <c r="AA8" s="561"/>
      <c r="AB8" s="561"/>
      <c r="AC8" s="561"/>
      <c r="AD8" s="561"/>
      <c r="AE8" s="561"/>
      <c r="AF8" s="561"/>
      <c r="AG8" s="561"/>
      <c r="AH8" s="561"/>
      <c r="AI8" s="561"/>
      <c r="AJ8" s="561"/>
      <c r="AK8" s="561"/>
      <c r="AL8" s="561"/>
      <c r="AM8" s="561"/>
      <c r="AN8" s="561"/>
      <c r="AO8" s="561"/>
      <c r="AP8" s="561"/>
      <c r="AQ8" s="561"/>
      <c r="AR8" s="561"/>
      <c r="AS8" s="561"/>
      <c r="AT8" s="561"/>
      <c r="AU8" s="565"/>
      <c r="AV8" s="570">
        <f t="shared" si="0"/>
        <v>0</v>
      </c>
      <c r="AW8" s="571">
        <f t="shared" si="1"/>
        <v>34144</v>
      </c>
      <c r="AX8" s="561">
        <v>4174</v>
      </c>
      <c r="AY8" s="565"/>
      <c r="AZ8" s="570">
        <f t="shared" si="2"/>
        <v>4174</v>
      </c>
      <c r="BA8" s="571">
        <f t="shared" si="3"/>
        <v>34144</v>
      </c>
    </row>
    <row r="9" spans="1:53" x14ac:dyDescent="0.3">
      <c r="A9" s="424" t="s">
        <v>234</v>
      </c>
      <c r="B9" s="570"/>
      <c r="C9" s="571"/>
      <c r="D9" s="566"/>
      <c r="E9" s="566"/>
      <c r="F9" s="561"/>
      <c r="G9" s="561"/>
      <c r="H9" s="561"/>
      <c r="I9" s="561"/>
      <c r="J9" s="561"/>
      <c r="K9" s="561"/>
      <c r="L9" s="561"/>
      <c r="M9" s="561"/>
      <c r="N9" s="561"/>
      <c r="O9" s="561"/>
      <c r="P9" s="561"/>
      <c r="Q9" s="561"/>
      <c r="R9" s="562"/>
      <c r="S9" s="565"/>
      <c r="T9" s="570"/>
      <c r="U9" s="571"/>
      <c r="V9" s="561"/>
      <c r="W9" s="561"/>
      <c r="X9" s="561"/>
      <c r="Y9" s="561"/>
      <c r="Z9" s="561"/>
      <c r="AA9" s="561"/>
      <c r="AB9" s="561"/>
      <c r="AC9" s="561"/>
      <c r="AD9" s="561"/>
      <c r="AE9" s="561"/>
      <c r="AF9" s="561"/>
      <c r="AG9" s="561"/>
      <c r="AH9" s="561"/>
      <c r="AI9" s="561"/>
      <c r="AJ9" s="561"/>
      <c r="AK9" s="561"/>
      <c r="AL9" s="561"/>
      <c r="AM9" s="561"/>
      <c r="AN9" s="561"/>
      <c r="AO9" s="561"/>
      <c r="AP9" s="561"/>
      <c r="AQ9" s="561"/>
      <c r="AR9" s="561"/>
      <c r="AS9" s="561"/>
      <c r="AT9" s="561"/>
      <c r="AU9" s="565"/>
      <c r="AV9" s="570">
        <f t="shared" si="0"/>
        <v>0</v>
      </c>
      <c r="AW9" s="571">
        <f t="shared" si="1"/>
        <v>0</v>
      </c>
      <c r="AX9" s="561"/>
      <c r="AY9" s="565"/>
      <c r="AZ9" s="570">
        <f t="shared" si="2"/>
        <v>0</v>
      </c>
      <c r="BA9" s="571">
        <f t="shared" si="3"/>
        <v>0</v>
      </c>
    </row>
    <row r="10" spans="1:53" x14ac:dyDescent="0.3">
      <c r="A10" s="424" t="s">
        <v>235</v>
      </c>
      <c r="B10" s="570"/>
      <c r="C10" s="571"/>
      <c r="D10" s="566"/>
      <c r="E10" s="566"/>
      <c r="F10" s="561"/>
      <c r="G10" s="561"/>
      <c r="H10" s="561"/>
      <c r="I10" s="561"/>
      <c r="J10" s="561"/>
      <c r="K10" s="561"/>
      <c r="L10" s="561"/>
      <c r="M10" s="561"/>
      <c r="N10" s="561"/>
      <c r="O10" s="561"/>
      <c r="P10" s="561"/>
      <c r="Q10" s="561"/>
      <c r="R10" s="562"/>
      <c r="S10" s="565"/>
      <c r="T10" s="570"/>
      <c r="U10" s="571"/>
      <c r="V10" s="561"/>
      <c r="W10" s="561"/>
      <c r="X10" s="561"/>
      <c r="Y10" s="561"/>
      <c r="Z10" s="561"/>
      <c r="AA10" s="561"/>
      <c r="AB10" s="561"/>
      <c r="AC10" s="561"/>
      <c r="AD10" s="561"/>
      <c r="AE10" s="561"/>
      <c r="AF10" s="561"/>
      <c r="AG10" s="561"/>
      <c r="AH10" s="561"/>
      <c r="AI10" s="561"/>
      <c r="AJ10" s="561"/>
      <c r="AK10" s="561"/>
      <c r="AL10" s="561"/>
      <c r="AM10" s="561"/>
      <c r="AN10" s="561"/>
      <c r="AO10" s="561"/>
      <c r="AP10" s="561"/>
      <c r="AQ10" s="561"/>
      <c r="AR10" s="561"/>
      <c r="AS10" s="561"/>
      <c r="AT10" s="561"/>
      <c r="AU10" s="565"/>
      <c r="AV10" s="570">
        <f t="shared" si="0"/>
        <v>0</v>
      </c>
      <c r="AW10" s="571">
        <f t="shared" si="1"/>
        <v>0</v>
      </c>
      <c r="AX10" s="561"/>
      <c r="AY10" s="565"/>
      <c r="AZ10" s="570">
        <f t="shared" si="2"/>
        <v>0</v>
      </c>
      <c r="BA10" s="571">
        <f t="shared" si="3"/>
        <v>0</v>
      </c>
    </row>
    <row r="11" spans="1:53" x14ac:dyDescent="0.3">
      <c r="A11" s="424" t="s">
        <v>236</v>
      </c>
      <c r="B11" s="570"/>
      <c r="C11" s="571"/>
      <c r="D11" s="566"/>
      <c r="E11" s="566"/>
      <c r="F11" s="561"/>
      <c r="G11" s="561"/>
      <c r="H11" s="561"/>
      <c r="I11" s="561"/>
      <c r="J11" s="561"/>
      <c r="K11" s="561"/>
      <c r="L11" s="561"/>
      <c r="M11" s="561"/>
      <c r="N11" s="561"/>
      <c r="O11" s="561"/>
      <c r="P11" s="561"/>
      <c r="Q11" s="561"/>
      <c r="R11" s="562"/>
      <c r="S11" s="565"/>
      <c r="T11" s="570"/>
      <c r="U11" s="571"/>
      <c r="V11" s="561"/>
      <c r="W11" s="561"/>
      <c r="X11" s="561"/>
      <c r="Y11" s="561"/>
      <c r="Z11" s="561"/>
      <c r="AA11" s="561"/>
      <c r="AB11" s="561"/>
      <c r="AC11" s="561"/>
      <c r="AD11" s="561"/>
      <c r="AE11" s="561"/>
      <c r="AF11" s="561"/>
      <c r="AG11" s="561"/>
      <c r="AH11" s="561"/>
      <c r="AI11" s="561"/>
      <c r="AJ11" s="561"/>
      <c r="AK11" s="561"/>
      <c r="AL11" s="561"/>
      <c r="AM11" s="561"/>
      <c r="AN11" s="561"/>
      <c r="AO11" s="561"/>
      <c r="AP11" s="561"/>
      <c r="AQ11" s="561"/>
      <c r="AR11" s="561"/>
      <c r="AS11" s="561"/>
      <c r="AT11" s="561"/>
      <c r="AU11" s="565"/>
      <c r="AV11" s="570">
        <f t="shared" si="0"/>
        <v>0</v>
      </c>
      <c r="AW11" s="571">
        <f t="shared" si="1"/>
        <v>0</v>
      </c>
      <c r="AX11" s="561"/>
      <c r="AY11" s="565"/>
      <c r="AZ11" s="570">
        <f t="shared" si="2"/>
        <v>0</v>
      </c>
      <c r="BA11" s="571">
        <f t="shared" si="3"/>
        <v>0</v>
      </c>
    </row>
    <row r="12" spans="1:53" x14ac:dyDescent="0.3">
      <c r="A12" s="424" t="s">
        <v>237</v>
      </c>
      <c r="B12" s="570"/>
      <c r="C12" s="571"/>
      <c r="D12" s="566"/>
      <c r="E12" s="566"/>
      <c r="F12" s="561"/>
      <c r="G12" s="561"/>
      <c r="H12" s="561"/>
      <c r="I12" s="561"/>
      <c r="J12" s="561"/>
      <c r="K12" s="561"/>
      <c r="L12" s="561"/>
      <c r="M12" s="561"/>
      <c r="N12" s="561"/>
      <c r="O12" s="561"/>
      <c r="P12" s="561"/>
      <c r="Q12" s="561"/>
      <c r="R12" s="562"/>
      <c r="S12" s="565"/>
      <c r="T12" s="570"/>
      <c r="U12" s="571"/>
      <c r="V12" s="561"/>
      <c r="W12" s="561"/>
      <c r="X12" s="561"/>
      <c r="Y12" s="561"/>
      <c r="Z12" s="561"/>
      <c r="AA12" s="561"/>
      <c r="AB12" s="561">
        <v>100000</v>
      </c>
      <c r="AC12" s="561">
        <f>AB12</f>
        <v>100000</v>
      </c>
      <c r="AD12" s="561"/>
      <c r="AE12" s="561"/>
      <c r="AF12" s="561"/>
      <c r="AG12" s="561">
        <v>942986</v>
      </c>
      <c r="AH12" s="561"/>
      <c r="AI12" s="561"/>
      <c r="AJ12" s="561"/>
      <c r="AK12" s="561"/>
      <c r="AL12" s="561"/>
      <c r="AM12" s="561"/>
      <c r="AN12" s="561">
        <v>311</v>
      </c>
      <c r="AO12" s="561">
        <v>2374</v>
      </c>
      <c r="AP12" s="561"/>
      <c r="AQ12" s="561"/>
      <c r="AR12" s="561"/>
      <c r="AS12" s="561"/>
      <c r="AT12" s="561"/>
      <c r="AU12" s="565"/>
      <c r="AV12" s="570">
        <f t="shared" si="0"/>
        <v>100311</v>
      </c>
      <c r="AW12" s="571">
        <f t="shared" si="1"/>
        <v>1045360</v>
      </c>
      <c r="AX12" s="561">
        <v>4081272</v>
      </c>
      <c r="AY12" s="565"/>
      <c r="AZ12" s="570">
        <f t="shared" si="2"/>
        <v>4181583</v>
      </c>
      <c r="BA12" s="571">
        <f t="shared" si="3"/>
        <v>1045360</v>
      </c>
    </row>
    <row r="13" spans="1:53" x14ac:dyDescent="0.3">
      <c r="A13" s="424" t="s">
        <v>238</v>
      </c>
      <c r="B13" s="570"/>
      <c r="C13" s="571"/>
      <c r="D13" s="566"/>
      <c r="E13" s="566"/>
      <c r="F13" s="561"/>
      <c r="G13" s="561"/>
      <c r="H13" s="561">
        <v>84811960</v>
      </c>
      <c r="I13" s="561">
        <v>88895141</v>
      </c>
      <c r="J13" s="561"/>
      <c r="K13" s="561"/>
      <c r="L13" s="561">
        <v>64825</v>
      </c>
      <c r="M13" s="561"/>
      <c r="N13" s="561"/>
      <c r="O13" s="561"/>
      <c r="P13" s="561"/>
      <c r="Q13" s="561"/>
      <c r="R13" s="562"/>
      <c r="S13" s="565"/>
      <c r="T13" s="570"/>
      <c r="U13" s="571"/>
      <c r="V13" s="561">
        <v>40073306</v>
      </c>
      <c r="W13" s="561">
        <v>53464723</v>
      </c>
      <c r="X13" s="561">
        <v>23024456</v>
      </c>
      <c r="Y13" s="561"/>
      <c r="Z13" s="561">
        <v>342733</v>
      </c>
      <c r="AA13" s="561">
        <v>1337754</v>
      </c>
      <c r="AB13" s="561"/>
      <c r="AC13" s="561"/>
      <c r="AD13" s="561">
        <v>22595539</v>
      </c>
      <c r="AE13" s="561">
        <v>28870002</v>
      </c>
      <c r="AF13" s="561">
        <v>5884730</v>
      </c>
      <c r="AG13" s="561">
        <v>7154933</v>
      </c>
      <c r="AH13" s="561"/>
      <c r="AI13" s="561"/>
      <c r="AJ13" s="561"/>
      <c r="AK13" s="561"/>
      <c r="AL13" s="561"/>
      <c r="AM13" s="561"/>
      <c r="AN13" s="561">
        <v>69618897</v>
      </c>
      <c r="AO13" s="561">
        <v>85729458</v>
      </c>
      <c r="AP13" s="561">
        <v>4462147</v>
      </c>
      <c r="AQ13" s="561">
        <v>4837323</v>
      </c>
      <c r="AR13" s="561"/>
      <c r="AS13" s="561"/>
      <c r="AT13" s="561">
        <v>230111</v>
      </c>
      <c r="AU13" s="565"/>
      <c r="AV13" s="570">
        <f t="shared" si="0"/>
        <v>251108704</v>
      </c>
      <c r="AW13" s="571">
        <f t="shared" si="1"/>
        <v>270289334</v>
      </c>
      <c r="AX13" s="561"/>
      <c r="AY13" s="565"/>
      <c r="AZ13" s="570">
        <f t="shared" si="2"/>
        <v>251108704</v>
      </c>
      <c r="BA13" s="571">
        <f t="shared" si="3"/>
        <v>270289334</v>
      </c>
    </row>
    <row r="14" spans="1:53" s="422" customFormat="1" ht="17.25" thickBot="1" x14ac:dyDescent="0.35">
      <c r="A14" s="576" t="s">
        <v>54</v>
      </c>
      <c r="B14" s="572">
        <f t="shared" ref="B14:AY14" si="4">SUM(B4:B13)</f>
        <v>2682948</v>
      </c>
      <c r="C14" s="420">
        <f t="shared" si="4"/>
        <v>0</v>
      </c>
      <c r="D14" s="419">
        <f t="shared" si="4"/>
        <v>7070805</v>
      </c>
      <c r="E14" s="420">
        <f t="shared" si="4"/>
        <v>8763705</v>
      </c>
      <c r="F14" s="420">
        <f t="shared" si="4"/>
        <v>0</v>
      </c>
      <c r="G14" s="420">
        <f t="shared" si="4"/>
        <v>0</v>
      </c>
      <c r="H14" s="420">
        <f t="shared" si="4"/>
        <v>95815136</v>
      </c>
      <c r="I14" s="420">
        <f t="shared" si="4"/>
        <v>99971220</v>
      </c>
      <c r="J14" s="420">
        <f t="shared" si="4"/>
        <v>2122304</v>
      </c>
      <c r="K14" s="420">
        <f t="shared" si="4"/>
        <v>2121108</v>
      </c>
      <c r="L14" s="420">
        <f t="shared" si="4"/>
        <v>1314825</v>
      </c>
      <c r="M14" s="420">
        <f t="shared" si="4"/>
        <v>1250000</v>
      </c>
      <c r="N14" s="420">
        <f t="shared" si="4"/>
        <v>8329217</v>
      </c>
      <c r="O14" s="420">
        <f t="shared" si="4"/>
        <v>8329217</v>
      </c>
      <c r="P14" s="420">
        <f t="shared" si="4"/>
        <v>16848478</v>
      </c>
      <c r="Q14" s="420">
        <f t="shared" si="4"/>
        <v>16882622</v>
      </c>
      <c r="R14" s="420">
        <f t="shared" si="4"/>
        <v>0</v>
      </c>
      <c r="S14" s="421">
        <f t="shared" si="4"/>
        <v>0</v>
      </c>
      <c r="T14" s="572">
        <f t="shared" si="4"/>
        <v>0</v>
      </c>
      <c r="U14" s="420">
        <f t="shared" si="4"/>
        <v>0</v>
      </c>
      <c r="V14" s="419">
        <f t="shared" si="4"/>
        <v>43783426</v>
      </c>
      <c r="W14" s="419">
        <f t="shared" si="4"/>
        <v>57608889</v>
      </c>
      <c r="X14" s="419">
        <f t="shared" si="4"/>
        <v>57541810</v>
      </c>
      <c r="Y14" s="419">
        <f t="shared" si="4"/>
        <v>0</v>
      </c>
      <c r="Z14" s="419">
        <f t="shared" si="4"/>
        <v>342733</v>
      </c>
      <c r="AA14" s="419">
        <f t="shared" si="4"/>
        <v>1337754</v>
      </c>
      <c r="AB14" s="419">
        <f t="shared" si="4"/>
        <v>2800000</v>
      </c>
      <c r="AC14" s="419">
        <f t="shared" si="4"/>
        <v>2800000</v>
      </c>
      <c r="AD14" s="419">
        <f t="shared" si="4"/>
        <v>23115902</v>
      </c>
      <c r="AE14" s="419">
        <f t="shared" si="4"/>
        <v>29390365</v>
      </c>
      <c r="AF14" s="419">
        <f t="shared" si="4"/>
        <v>6824427</v>
      </c>
      <c r="AG14" s="419">
        <f t="shared" si="4"/>
        <v>9037616</v>
      </c>
      <c r="AH14" s="419">
        <f t="shared" si="4"/>
        <v>0</v>
      </c>
      <c r="AI14" s="419">
        <f t="shared" si="4"/>
        <v>44386</v>
      </c>
      <c r="AJ14" s="419">
        <f t="shared" si="4"/>
        <v>3031592</v>
      </c>
      <c r="AK14" s="419">
        <f t="shared" si="4"/>
        <v>3031592</v>
      </c>
      <c r="AL14" s="419">
        <f t="shared" si="4"/>
        <v>0</v>
      </c>
      <c r="AM14" s="419"/>
      <c r="AN14" s="419">
        <f>SUM(AN4:AN13)</f>
        <v>69619208</v>
      </c>
      <c r="AO14" s="419">
        <f t="shared" si="4"/>
        <v>85759073</v>
      </c>
      <c r="AP14" s="419">
        <f t="shared" si="4"/>
        <v>4471702</v>
      </c>
      <c r="AQ14" s="419">
        <f>SUM(AQ4:AQ13)</f>
        <v>4849297</v>
      </c>
      <c r="AR14" s="419">
        <f t="shared" si="4"/>
        <v>2686056</v>
      </c>
      <c r="AS14" s="419">
        <f t="shared" si="4"/>
        <v>2686056</v>
      </c>
      <c r="AT14" s="420">
        <f t="shared" si="4"/>
        <v>489748</v>
      </c>
      <c r="AU14" s="421">
        <f t="shared" si="4"/>
        <v>0</v>
      </c>
      <c r="AV14" s="615">
        <f t="shared" si="0"/>
        <v>348890317</v>
      </c>
      <c r="AW14" s="616">
        <f t="shared" si="1"/>
        <v>333862900</v>
      </c>
      <c r="AX14" s="419">
        <f t="shared" si="4"/>
        <v>97419373</v>
      </c>
      <c r="AY14" s="421">
        <f t="shared" si="4"/>
        <v>0</v>
      </c>
      <c r="AZ14" s="615">
        <f t="shared" si="2"/>
        <v>446309690</v>
      </c>
      <c r="BA14" s="616">
        <f t="shared" si="3"/>
        <v>333862900</v>
      </c>
    </row>
  </sheetData>
  <mergeCells count="28">
    <mergeCell ref="AZ2:BA2"/>
    <mergeCell ref="AX2:AY2"/>
    <mergeCell ref="AV2:AW2"/>
    <mergeCell ref="AD2:AE2"/>
    <mergeCell ref="AF2:AG2"/>
    <mergeCell ref="AH2:AI2"/>
    <mergeCell ref="AT2:AU2"/>
    <mergeCell ref="AR2:AS2"/>
    <mergeCell ref="AP2:AQ2"/>
    <mergeCell ref="AN2:AO2"/>
    <mergeCell ref="AL2:AM2"/>
    <mergeCell ref="AJ2:AK2"/>
    <mergeCell ref="R2:S2"/>
    <mergeCell ref="T2:U2"/>
    <mergeCell ref="V2:W2"/>
    <mergeCell ref="X2:Y2"/>
    <mergeCell ref="Z2:AA2"/>
    <mergeCell ref="AB2:AC2"/>
    <mergeCell ref="A2:A3"/>
    <mergeCell ref="A1:AZ1"/>
    <mergeCell ref="B2:C2"/>
    <mergeCell ref="D2:E2"/>
    <mergeCell ref="F2:G2"/>
    <mergeCell ref="H2:I2"/>
    <mergeCell ref="L2:M2"/>
    <mergeCell ref="J2:K2"/>
    <mergeCell ref="N2:O2"/>
    <mergeCell ref="P2:Q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A8"/>
  <sheetViews>
    <sheetView workbookViewId="0">
      <pane xSplit="1" topLeftCell="B1" activePane="topRight" state="frozen"/>
      <selection pane="topRight" activeCell="V4" sqref="V4"/>
    </sheetView>
  </sheetViews>
  <sheetFormatPr defaultRowHeight="16.5" x14ac:dyDescent="0.3"/>
  <cols>
    <col min="1" max="1" width="22.140625" style="67" customWidth="1"/>
    <col min="2" max="3" width="10.85546875" style="67" customWidth="1"/>
    <col min="4" max="4" width="10.5703125" style="67" customWidth="1"/>
    <col min="5" max="5" width="10.42578125" style="67" customWidth="1"/>
    <col min="6" max="6" width="11.28515625" style="67" customWidth="1"/>
    <col min="7" max="7" width="10.85546875" style="67" customWidth="1"/>
    <col min="8" max="9" width="10.5703125" style="67" customWidth="1"/>
    <col min="10" max="11" width="10.28515625" style="67" customWidth="1"/>
    <col min="12" max="12" width="10.5703125" style="67" customWidth="1"/>
    <col min="13" max="13" width="10.7109375" style="67" customWidth="1"/>
    <col min="14" max="14" width="10.42578125" style="67" customWidth="1"/>
    <col min="15" max="15" width="11.42578125" style="67" customWidth="1"/>
    <col min="16" max="17" width="10.42578125" style="67" customWidth="1"/>
    <col min="18" max="18" width="11.28515625" style="67" customWidth="1"/>
    <col min="19" max="20" width="10.28515625" style="67" customWidth="1"/>
    <col min="21" max="23" width="10.5703125" style="67" customWidth="1"/>
    <col min="24" max="24" width="10.7109375" style="67" customWidth="1"/>
    <col min="25" max="25" width="10.28515625" style="67" bestFit="1" customWidth="1"/>
    <col min="26" max="26" width="10.42578125" style="67" customWidth="1"/>
    <col min="27" max="27" width="10.28515625" style="67" bestFit="1" customWidth="1"/>
    <col min="28" max="16384" width="9.140625" style="67"/>
  </cols>
  <sheetData>
    <row r="1" spans="1:27" s="322" customFormat="1" ht="17.25" thickBot="1" x14ac:dyDescent="0.4">
      <c r="A1" s="323" t="s">
        <v>243</v>
      </c>
    </row>
    <row r="2" spans="1:27" ht="129" thickBot="1" x14ac:dyDescent="0.35">
      <c r="A2" s="1270" t="s">
        <v>0</v>
      </c>
      <c r="B2" s="446" t="s">
        <v>153</v>
      </c>
      <c r="C2" s="488" t="s">
        <v>154</v>
      </c>
      <c r="D2" s="488" t="s">
        <v>155</v>
      </c>
      <c r="E2" s="488" t="s">
        <v>156</v>
      </c>
      <c r="F2" s="488" t="s">
        <v>157</v>
      </c>
      <c r="G2" s="488" t="s">
        <v>158</v>
      </c>
      <c r="H2" s="943" t="s">
        <v>291</v>
      </c>
      <c r="I2" s="488" t="s">
        <v>159</v>
      </c>
      <c r="J2" s="488" t="s">
        <v>160</v>
      </c>
      <c r="K2" s="488" t="s">
        <v>161</v>
      </c>
      <c r="L2" s="488" t="s">
        <v>162</v>
      </c>
      <c r="M2" s="488" t="s">
        <v>163</v>
      </c>
      <c r="N2" s="488" t="s">
        <v>164</v>
      </c>
      <c r="O2" s="488" t="s">
        <v>165</v>
      </c>
      <c r="P2" s="488" t="s">
        <v>166</v>
      </c>
      <c r="Q2" s="488" t="s">
        <v>167</v>
      </c>
      <c r="R2" s="488" t="s">
        <v>168</v>
      </c>
      <c r="S2" s="488" t="s">
        <v>169</v>
      </c>
      <c r="T2" s="488" t="s">
        <v>170</v>
      </c>
      <c r="U2" s="488" t="s">
        <v>171</v>
      </c>
      <c r="V2" s="488" t="s">
        <v>172</v>
      </c>
      <c r="W2" s="488" t="s">
        <v>173</v>
      </c>
      <c r="X2" s="488" t="s">
        <v>174</v>
      </c>
      <c r="Y2" s="488" t="s">
        <v>1</v>
      </c>
      <c r="Z2" s="488" t="s">
        <v>175</v>
      </c>
      <c r="AA2" s="488" t="s">
        <v>2</v>
      </c>
    </row>
    <row r="3" spans="1:27" s="364" customFormat="1" ht="31.5" customHeight="1" thickBot="1" x14ac:dyDescent="0.35">
      <c r="A3" s="1271"/>
      <c r="B3" s="447" t="s">
        <v>296</v>
      </c>
      <c r="C3" s="447" t="s">
        <v>296</v>
      </c>
      <c r="D3" s="447" t="s">
        <v>296</v>
      </c>
      <c r="E3" s="447" t="s">
        <v>296</v>
      </c>
      <c r="F3" s="447" t="s">
        <v>296</v>
      </c>
      <c r="G3" s="447" t="s">
        <v>296</v>
      </c>
      <c r="H3" s="447" t="s">
        <v>296</v>
      </c>
      <c r="I3" s="447" t="s">
        <v>296</v>
      </c>
      <c r="J3" s="447" t="s">
        <v>296</v>
      </c>
      <c r="K3" s="447" t="s">
        <v>296</v>
      </c>
      <c r="L3" s="447" t="s">
        <v>296</v>
      </c>
      <c r="M3" s="447" t="s">
        <v>296</v>
      </c>
      <c r="N3" s="447" t="s">
        <v>296</v>
      </c>
      <c r="O3" s="447" t="s">
        <v>296</v>
      </c>
      <c r="P3" s="447" t="s">
        <v>296</v>
      </c>
      <c r="Q3" s="447" t="s">
        <v>296</v>
      </c>
      <c r="R3" s="447" t="s">
        <v>296</v>
      </c>
      <c r="S3" s="447" t="s">
        <v>296</v>
      </c>
      <c r="T3" s="447" t="s">
        <v>296</v>
      </c>
      <c r="U3" s="447" t="s">
        <v>296</v>
      </c>
      <c r="V3" s="447" t="s">
        <v>296</v>
      </c>
      <c r="W3" s="447" t="s">
        <v>296</v>
      </c>
      <c r="X3" s="447" t="s">
        <v>296</v>
      </c>
      <c r="Y3" s="447" t="s">
        <v>296</v>
      </c>
      <c r="Z3" s="447" t="s">
        <v>296</v>
      </c>
      <c r="AA3" s="447" t="s">
        <v>296</v>
      </c>
    </row>
    <row r="4" spans="1:27" ht="17.25" thickBot="1" x14ac:dyDescent="0.35">
      <c r="A4" s="315" t="s">
        <v>239</v>
      </c>
      <c r="B4" s="1165">
        <v>0</v>
      </c>
      <c r="C4" s="311">
        <v>700000</v>
      </c>
      <c r="D4" s="311">
        <v>0</v>
      </c>
      <c r="E4" s="1165">
        <v>0</v>
      </c>
      <c r="F4" s="311">
        <v>600000</v>
      </c>
      <c r="G4" s="1165">
        <v>0</v>
      </c>
      <c r="H4" s="1165">
        <v>0</v>
      </c>
      <c r="I4" s="1165">
        <v>0</v>
      </c>
      <c r="J4" s="311">
        <v>0</v>
      </c>
      <c r="K4" s="1165">
        <v>0</v>
      </c>
      <c r="L4" s="311">
        <v>6000000</v>
      </c>
      <c r="M4" s="311">
        <v>0</v>
      </c>
      <c r="N4" s="1165">
        <v>0</v>
      </c>
      <c r="O4" s="311">
        <v>1000000</v>
      </c>
      <c r="P4" s="1165">
        <v>0</v>
      </c>
      <c r="Q4" s="1165">
        <v>0</v>
      </c>
      <c r="R4" s="1165">
        <v>0</v>
      </c>
      <c r="S4" s="1165">
        <v>0</v>
      </c>
      <c r="T4" s="311">
        <v>0</v>
      </c>
      <c r="U4" s="1165">
        <v>0</v>
      </c>
      <c r="V4" s="1165">
        <v>0</v>
      </c>
      <c r="W4" s="320">
        <v>0</v>
      </c>
      <c r="X4" s="313">
        <v>0</v>
      </c>
      <c r="Y4" s="311"/>
      <c r="Z4" s="316"/>
      <c r="AA4" s="318"/>
    </row>
    <row r="5" spans="1:27" ht="17.25" thickBot="1" x14ac:dyDescent="0.35">
      <c r="A5" s="310" t="s">
        <v>240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 t="s">
        <v>249</v>
      </c>
      <c r="W5" s="321"/>
      <c r="X5" s="314"/>
      <c r="Y5" s="311"/>
      <c r="Z5" s="317"/>
      <c r="AA5" s="319"/>
    </row>
    <row r="6" spans="1:27" ht="17.25" thickBot="1" x14ac:dyDescent="0.35">
      <c r="A6" s="310" t="s">
        <v>241</v>
      </c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21"/>
      <c r="X6" s="314"/>
      <c r="Y6" s="311"/>
      <c r="Z6" s="317"/>
      <c r="AA6" s="319"/>
    </row>
    <row r="7" spans="1:27" x14ac:dyDescent="0.3">
      <c r="A7" s="310" t="s">
        <v>75</v>
      </c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/>
      <c r="V7" s="312"/>
      <c r="W7" s="321"/>
      <c r="X7" s="314"/>
      <c r="Y7" s="311"/>
      <c r="Z7" s="317"/>
      <c r="AA7" s="319"/>
    </row>
    <row r="8" spans="1:27" s="364" customFormat="1" ht="17.25" thickBot="1" x14ac:dyDescent="0.35">
      <c r="A8" s="417" t="s">
        <v>54</v>
      </c>
      <c r="B8" s="418">
        <f>SUM(B4:B7)</f>
        <v>0</v>
      </c>
      <c r="C8" s="418">
        <f t="shared" ref="C8:AA8" si="0">SUM(C4:C7)</f>
        <v>700000</v>
      </c>
      <c r="D8" s="418">
        <f t="shared" si="0"/>
        <v>0</v>
      </c>
      <c r="E8" s="418">
        <f t="shared" si="0"/>
        <v>0</v>
      </c>
      <c r="F8" s="418">
        <f t="shared" si="0"/>
        <v>600000</v>
      </c>
      <c r="G8" s="418">
        <f t="shared" si="0"/>
        <v>0</v>
      </c>
      <c r="H8" s="418">
        <f t="shared" si="0"/>
        <v>0</v>
      </c>
      <c r="I8" s="418">
        <f t="shared" si="0"/>
        <v>0</v>
      </c>
      <c r="J8" s="418">
        <f t="shared" si="0"/>
        <v>0</v>
      </c>
      <c r="K8" s="418">
        <f t="shared" si="0"/>
        <v>0</v>
      </c>
      <c r="L8" s="418">
        <f t="shared" si="0"/>
        <v>6000000</v>
      </c>
      <c r="M8" s="418">
        <f t="shared" si="0"/>
        <v>0</v>
      </c>
      <c r="N8" s="418">
        <f t="shared" si="0"/>
        <v>0</v>
      </c>
      <c r="O8" s="418">
        <f t="shared" si="0"/>
        <v>1000000</v>
      </c>
      <c r="P8" s="418">
        <f t="shared" si="0"/>
        <v>0</v>
      </c>
      <c r="Q8" s="418">
        <f t="shared" si="0"/>
        <v>0</v>
      </c>
      <c r="R8" s="418">
        <f t="shared" si="0"/>
        <v>0</v>
      </c>
      <c r="S8" s="418">
        <f t="shared" si="0"/>
        <v>0</v>
      </c>
      <c r="T8" s="418">
        <f t="shared" si="0"/>
        <v>0</v>
      </c>
      <c r="U8" s="418">
        <f t="shared" si="0"/>
        <v>0</v>
      </c>
      <c r="V8" s="418">
        <f t="shared" si="0"/>
        <v>0</v>
      </c>
      <c r="W8" s="418">
        <f t="shared" si="0"/>
        <v>0</v>
      </c>
      <c r="X8" s="418">
        <f t="shared" si="0"/>
        <v>0</v>
      </c>
      <c r="Y8" s="418">
        <f t="shared" si="0"/>
        <v>0</v>
      </c>
      <c r="Z8" s="418">
        <f t="shared" si="0"/>
        <v>0</v>
      </c>
      <c r="AA8" s="418">
        <f t="shared" si="0"/>
        <v>0</v>
      </c>
    </row>
  </sheetData>
  <mergeCells count="1">
    <mergeCell ref="A2:A3"/>
  </mergeCells>
  <pageMargins left="0.7" right="0.7" top="0.75" bottom="0.75" header="0.3" footer="0.3"/>
  <pageSetup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L1</vt:lpstr>
      <vt:lpstr>L2</vt:lpstr>
      <vt:lpstr>L3</vt:lpstr>
      <vt:lpstr>L4</vt:lpstr>
      <vt:lpstr>L5</vt:lpstr>
      <vt:lpstr>L6</vt:lpstr>
      <vt:lpstr>L7</vt:lpstr>
      <vt:lpstr>L10</vt:lpstr>
      <vt:lpstr>L11</vt:lpstr>
      <vt:lpstr>L15</vt:lpstr>
      <vt:lpstr>L24</vt:lpstr>
      <vt:lpstr>L25</vt:lpstr>
      <vt:lpstr>L37FPI</vt:lpstr>
      <vt:lpstr>L37Lives</vt:lpstr>
      <vt:lpstr>L38 FPI</vt:lpstr>
      <vt:lpstr>L38 NOP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Pande Sandeep</dc:creator>
  <cp:lastModifiedBy>Pande Sandeep</cp:lastModifiedBy>
  <dcterms:created xsi:type="dcterms:W3CDTF">2019-02-21T06:27:16Z</dcterms:created>
  <dcterms:modified xsi:type="dcterms:W3CDTF">2020-12-19T12:08:01Z</dcterms:modified>
</cp:coreProperties>
</file>